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Tallinna tn 18/_Lepingud/RaM/Kliendile vastus/"/>
    </mc:Choice>
  </mc:AlternateContent>
  <xr:revisionPtr revIDLastSave="4" documentId="14_{B6D02257-F985-471E-8BAE-1EE733F21AC1}" xr6:coauthVersionLast="47" xr6:coauthVersionMax="47" xr10:uidLastSave="{2163D13D-E7C2-42A1-B3C1-AE99EC157D83}"/>
  <bookViews>
    <workbookView xWindow="28680" yWindow="-120" windowWidth="38640" windowHeight="21240" tabRatio="748" activeTab="1" xr2:uid="{5E902507-0C8A-49A0-BFAF-B8951EBF0043}"/>
  </bookViews>
  <sheets>
    <sheet name="Lisa 6.1. Lisa 1 Parendustööd" sheetId="21" r:id="rId1"/>
    <sheet name="Lisa 6.1. Lisa 2 Sisustus" sheetId="22" r:id="rId2"/>
  </sheets>
  <definedNames>
    <definedName name="_30_Ülekantavad_vahendid">#REF!</definedName>
    <definedName name="Aadress" localSheetId="0">#REF!</definedName>
    <definedName name="Aadress" localSheetId="1">#REF!</definedName>
    <definedName name="Aadress">#REF!</definedName>
    <definedName name="aadress_asukoha_analüüs" localSheetId="1">#REF!</definedName>
    <definedName name="aadress_asukoha_analüüs">#REF!</definedName>
    <definedName name="aadress_asukohahinnang" localSheetId="1">#REF!</definedName>
    <definedName name="aadress_asukohahinnang">#REF!</definedName>
    <definedName name="aarv">#REF!</definedName>
    <definedName name="aarv1">#REF!</definedName>
    <definedName name="aasta">#REF!</definedName>
    <definedName name="aasta2">#REF!</definedName>
    <definedName name="aastaarv">#REF!</definedName>
    <definedName name="aastad">#REF!</definedName>
    <definedName name="aastadsd">#REF!</definedName>
    <definedName name="abaas">#REF!</definedName>
    <definedName name="abaasnr">#REF!</definedName>
    <definedName name="aeg">OFFSET(#REF!,0,#REF!,1,#REF!)</definedName>
    <definedName name="aktnr">#REF!</definedName>
    <definedName name="aktnr.">#REF!</definedName>
    <definedName name="ALG">#REF!</definedName>
    <definedName name="alge">OFFSET(#REF!,0,#REF!,1,#REF!)</definedName>
    <definedName name="Algus_veerg" localSheetId="1">#REF!</definedName>
    <definedName name="Algus_veerg">#REF!</definedName>
    <definedName name="ALL" localSheetId="0">#REF!</definedName>
    <definedName name="ALL" localSheetId="1">#REF!</definedName>
    <definedName name="ALL">#REF!</definedName>
    <definedName name="andmed" localSheetId="0">#REF!</definedName>
    <definedName name="andmed" localSheetId="1">#REF!</definedName>
    <definedName name="andmed">#REF!</definedName>
    <definedName name="andmed_kogemus" localSheetId="0">#REF!</definedName>
    <definedName name="andmed_kogemus" localSheetId="1">#REF!</definedName>
    <definedName name="andmed_kogemus">#REF!</definedName>
    <definedName name="andmed_ruumide_sobivus" localSheetId="0">#REF!</definedName>
    <definedName name="andmed_ruumide_sobivus" localSheetId="1">#REF!</definedName>
    <definedName name="andmed_ruumide_sobivus">#REF!</definedName>
    <definedName name="bilanss" localSheetId="1">#REF!</definedName>
    <definedName name="bilanss">#REF!</definedName>
    <definedName name="brutopind" localSheetId="0">#REF!</definedName>
    <definedName name="brutopind" localSheetId="1">#REF!</definedName>
    <definedName name="brutopind">#REF!</definedName>
    <definedName name="BuiltIn_Print_Area___1">"$#REF!.$A$1:$H$110"</definedName>
    <definedName name="BuiltIn_Print_Area___2">"$#REF!.$A$1:$M$42"</definedName>
    <definedName name="BuiltIn_Print_Area___3">"$#REF!.$A$1:$B$30"</definedName>
    <definedName name="BuiltIn_Print_Area___4">"$#REF!.$A$1:$D$49"</definedName>
    <definedName name="BuiltIn_Print_Area___5">"$#REF!.$A$1:$C$45"</definedName>
    <definedName name="BuiltIn_Print_Area___6">"$#REF!.$A$88:$C$123"</definedName>
    <definedName name="BuiltIn_Print_Titles___2">"$#REF!.$A$4:$IV$10"</definedName>
    <definedName name="BuiltIn_Print_Titles___3">"$#REF!.$A$4:$IV$10"</definedName>
    <definedName name="disk.määr" localSheetId="0">#REF!</definedName>
    <definedName name="disk.määr" localSheetId="1">#REF!</definedName>
    <definedName name="disk.määr">#REF!</definedName>
    <definedName name="eel_1">OFFSET(#REF!,1,0,1,#REF!)</definedName>
    <definedName name="eel_2">OFFSET(#REF!,30,0,1,#REF!)</definedName>
    <definedName name="eel_3">OFFSET(#REF!,60,0,1,#REF!)</definedName>
    <definedName name="eel_4">OFFSET(#REF!,88,0,1,#REF!)</definedName>
    <definedName name="eelarve">#REF!</definedName>
    <definedName name="eelarve_kokku" localSheetId="0">#REF!</definedName>
    <definedName name="eelarve_kokku" localSheetId="1">#REF!</definedName>
    <definedName name="eelarve_kokku">#REF!</definedName>
    <definedName name="EHI">#REF!</definedName>
    <definedName name="erikülgsednurkterased" localSheetId="0">#REF!</definedName>
    <definedName name="erikülgsednurkterased" localSheetId="1">#REF!</definedName>
    <definedName name="erikülgsednurkterased">#REF!</definedName>
    <definedName name="erikülgsednurkterased140" localSheetId="0">#REF!</definedName>
    <definedName name="erikülgsednurkterased140" localSheetId="1">#REF!</definedName>
    <definedName name="erikülgsednurkterased140">#REF!</definedName>
    <definedName name="erikülgsednurkterased70" localSheetId="0">#REF!</definedName>
    <definedName name="erikülgsednurkterased70" localSheetId="1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GARANTII">#REF!</definedName>
    <definedName name="haldur">#REF!</definedName>
    <definedName name="HEA">#REF!</definedName>
    <definedName name="HEB">#REF!</definedName>
    <definedName name="hind">#REF!</definedName>
    <definedName name="hinnang_asukoha_analüüs" localSheetId="0">#REF!</definedName>
    <definedName name="hinnang_asukoha_analüüs" localSheetId="1">#REF!</definedName>
    <definedName name="hinnang_asukoha_analüüs">#REF!</definedName>
    <definedName name="hüvitamine">#REF!</definedName>
    <definedName name="INT">#REF!</definedName>
    <definedName name="IPE" localSheetId="0">#REF!</definedName>
    <definedName name="IPE" localSheetId="1">#REF!</definedName>
    <definedName name="IPE">#REF!</definedName>
    <definedName name="Jum_osa">#REF!</definedName>
    <definedName name="karkass" localSheetId="0">#REF!</definedName>
    <definedName name="karkass" localSheetId="1">#REF!</definedName>
    <definedName name="karkass">#REF!</definedName>
    <definedName name="karkassilisa">#REF!</definedName>
    <definedName name="KAS">#REF!</definedName>
    <definedName name="katus">#REF!</definedName>
    <definedName name="kehtiv_IRR" localSheetId="0">#REF!</definedName>
    <definedName name="kehtiv_IRR" localSheetId="1">#REF!</definedName>
    <definedName name="kehtiv_IRR">#REF!</definedName>
    <definedName name="KEST">#REF!</definedName>
    <definedName name="kestvus">#REF!</definedName>
    <definedName name="kestvus2">#REF!</definedName>
    <definedName name="Kinnistu" localSheetId="1">#REF!</definedName>
    <definedName name="Kinnistu">#REF!</definedName>
    <definedName name="Kinnistud" localSheetId="1">#REF!</definedName>
    <definedName name="Kinnistud">#REF!</definedName>
    <definedName name="kipsilisa" localSheetId="0">#REF!</definedName>
    <definedName name="kipsilisa" localSheetId="1">#REF!</definedName>
    <definedName name="kipsilisa">#REF!</definedName>
    <definedName name="kipsvaheseinad" localSheetId="0">#REF!</definedName>
    <definedName name="kipsvaheseinad" localSheetId="1">#REF!</definedName>
    <definedName name="kipsvaheseinad">#REF!</definedName>
    <definedName name="knimi">#REF!</definedName>
    <definedName name="kogu_eelarve_ületamine">#REF!</definedName>
    <definedName name="kood">#REF!</definedName>
    <definedName name="kor_1">OFFSET(#REF!,0,#REF!,1,#REF!)</definedName>
    <definedName name="kor_2">OFFSET(#REF!,0,#REF!,1,#REF!)</definedName>
    <definedName name="kor_3">OFFSET(#REF!,0,#REF!,1,#REF!)</definedName>
    <definedName name="kor_4">OFFSET(#REF!,0,#REF!,1,#REF!)</definedName>
    <definedName name="kor_5">OFFSET(#REF!,0,#REF!,1,#REF!)</definedName>
    <definedName name="kor_6">OFFSET(#REF!,0,#REF!,1,#REF!)</definedName>
    <definedName name="kuud">#REF!</definedName>
    <definedName name="Kuupäev">#REF!</definedName>
    <definedName name="liik" localSheetId="1">#REF!</definedName>
    <definedName name="liik">#REF!</definedName>
    <definedName name="LISA" localSheetId="0">#REF!</definedName>
    <definedName name="LISA" localSheetId="1">#REF!</definedName>
    <definedName name="LISA">#REF!</definedName>
    <definedName name="lisakatuslagi" localSheetId="0">#REF!</definedName>
    <definedName name="lisakatuslagi" localSheetId="1">#REF!</definedName>
    <definedName name="lisakatuslagi">#REF!</definedName>
    <definedName name="ltasu" localSheetId="0">#REF!</definedName>
    <definedName name="ltasu" localSheetId="1">#REF!</definedName>
    <definedName name="ltasu">#REF!</definedName>
    <definedName name="MAKS">#REF!</definedName>
    <definedName name="Maksumus" localSheetId="0">#REF!</definedName>
    <definedName name="Maksumus" localSheetId="1">#REF!</definedName>
    <definedName name="Maksumus">#REF!</definedName>
    <definedName name="maksuvaba" localSheetId="0">#REF!</definedName>
    <definedName name="maksuvaba" localSheetId="1">#REF!</definedName>
    <definedName name="maksuvaba">#REF!</definedName>
    <definedName name="max.parkimiskoha_maksumus" localSheetId="0">#REF!</definedName>
    <definedName name="max.parkimiskoha_maksumus" localSheetId="1">#REF!</definedName>
    <definedName name="max.parkimiskoha_maksumus">#REF!</definedName>
    <definedName name="minist" localSheetId="1">#REF!</definedName>
    <definedName name="minist">#REF!</definedName>
    <definedName name="mullatööd" localSheetId="0">#REF!</definedName>
    <definedName name="mullatööd" localSheetId="1">#REF!</definedName>
    <definedName name="mullatööd">#REF!</definedName>
    <definedName name="nelikanttoru" localSheetId="0">#REF!</definedName>
    <definedName name="nelikanttoru" localSheetId="1">#REF!</definedName>
    <definedName name="nelikanttoru">#REF!</definedName>
    <definedName name="nelikanttoru150" localSheetId="0">#REF!</definedName>
    <definedName name="nelikanttoru150" localSheetId="1">#REF!</definedName>
    <definedName name="nelikanttoru150">#REF!</definedName>
    <definedName name="nelikanttoru30">#REF!</definedName>
    <definedName name="netopind">#REF!</definedName>
    <definedName name="Number">#REF!</definedName>
    <definedName name="objekt" localSheetId="0">#REF!</definedName>
    <definedName name="objekt" localSheetId="1">#REF!</definedName>
    <definedName name="objekt">#REF!</definedName>
    <definedName name="objekt_ruumide_sobivus" localSheetId="0">#REF!</definedName>
    <definedName name="objekt_ruumide_sobivus" localSheetId="1">#REF!</definedName>
    <definedName name="objekt_ruumide_sobivus">#REF!</definedName>
    <definedName name="objekti_aadress" localSheetId="0">#REF!</definedName>
    <definedName name="objekti_aadress" localSheetId="1">#REF!</definedName>
    <definedName name="objekti_aadress">#REF!</definedName>
    <definedName name="pakkujad_kogemus" localSheetId="0">#REF!</definedName>
    <definedName name="pakkujad_kogemus" localSheetId="1">#REF!</definedName>
    <definedName name="pakkujad_kogemus">#REF!</definedName>
    <definedName name="paneelsein" localSheetId="0">#REF!</definedName>
    <definedName name="paneelsein" localSheetId="1">#REF!</definedName>
    <definedName name="paneelsein">#REF!</definedName>
    <definedName name="paneelsein3" localSheetId="0">#REF!</definedName>
    <definedName name="paneelsein3" localSheetId="1">#REF!</definedName>
    <definedName name="paneelsein3">#REF!</definedName>
    <definedName name="pealkirjad" localSheetId="0">#REF!</definedName>
    <definedName name="pealkirjad" localSheetId="1">#REF!</definedName>
    <definedName name="pealkirjad">#REF!</definedName>
    <definedName name="pealkirjad_kogemus" localSheetId="0">#REF!</definedName>
    <definedName name="pealkirjad_kogemus" localSheetId="1">#REF!</definedName>
    <definedName name="pealkirjad_kogemus">#REF!</definedName>
    <definedName name="pealkirjad_ruumide_sobivus" localSheetId="0">#REF!</definedName>
    <definedName name="pealkirjad_ruumide_sobivus" localSheetId="1">#REF!</definedName>
    <definedName name="pealkirjad_ruumide_sobivus">#REF!</definedName>
    <definedName name="Periood" localSheetId="0">#REF!</definedName>
    <definedName name="Periood" localSheetId="1">#REF!</definedName>
    <definedName name="Periood">#REF!</definedName>
    <definedName name="Periood1">#REF!</definedName>
    <definedName name="piirkond">#REF!</definedName>
    <definedName name="plekkkatus" localSheetId="0">#REF!</definedName>
    <definedName name="plekkkatus" localSheetId="1">#REF!</definedName>
    <definedName name="plekkkatus">#REF!</definedName>
    <definedName name="plekksein" localSheetId="0">#REF!</definedName>
    <definedName name="plekksein" localSheetId="1">#REF!</definedName>
    <definedName name="plekksein">#REF!</definedName>
    <definedName name="pr_list">OFFSET(#REF!,0,0,#REF!-4,1)</definedName>
    <definedName name="pr_reg">OFFSET(#REF!,0,0,#REF!+1,1)</definedName>
    <definedName name="pro_1">OFFSET(#REF!,2,0,1,#REF!)</definedName>
    <definedName name="pro_2">OFFSET(#REF!,31,0,1,#REF!)</definedName>
    <definedName name="pro_3">OFFSET(#REF!,61,0,1,#REF!)</definedName>
    <definedName name="pro_4">OFFSET(#REF!,89,0,1,#REF!)</definedName>
    <definedName name="prognoos_ilma_meeskonna_ja_yldkuludeta" localSheetId="0">#REF!</definedName>
    <definedName name="prognoos_ilma_meeskonna_ja_yldkuludeta" localSheetId="1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 localSheetId="1">#REF!</definedName>
    <definedName name="prognoosi_muutmise_aeg">#REF!</definedName>
    <definedName name="prognoosi_periood" localSheetId="0">#REF!</definedName>
    <definedName name="prognoosi_periood" localSheetId="1">#REF!</definedName>
    <definedName name="prognoosi_periood">#REF!</definedName>
    <definedName name="projekti_nimi" localSheetId="0">#REF!</definedName>
    <definedName name="projekti_nimi" localSheetId="1">#REF!</definedName>
    <definedName name="projekti_nimi">#REF!</definedName>
    <definedName name="projekti_nr" localSheetId="0">#REF!</definedName>
    <definedName name="projekti_nr" localSheetId="1">#REF!</definedName>
    <definedName name="projekti_nr">#REF!</definedName>
    <definedName name="protsent" localSheetId="0">#REF!</definedName>
    <definedName name="protsent" localSheetId="1">#REF!</definedName>
    <definedName name="protsent">#REF!</definedName>
    <definedName name="punktid_asukohahinnang" localSheetId="0">#REF!</definedName>
    <definedName name="punktid_asukohahinnang" localSheetId="1">#REF!</definedName>
    <definedName name="punktid_asukohahinnang">#REF!</definedName>
    <definedName name="põrand" localSheetId="0">#REF!</definedName>
    <definedName name="põrand" localSheetId="1">#REF!</definedName>
    <definedName name="põrand">#REF!</definedName>
    <definedName name="Rahastusallikad">#REF!</definedName>
    <definedName name="REMKOMP">#REF!</definedName>
    <definedName name="Reserv" localSheetId="0">#REF!</definedName>
    <definedName name="Reserv" localSheetId="1">#REF!</definedName>
    <definedName name="Reserv">#REF!</definedName>
    <definedName name="RUUT">#REF!</definedName>
    <definedName name="ryytelkond">#REF!</definedName>
    <definedName name="sdfds">#REF!</definedName>
    <definedName name="seinad" localSheetId="0">#REF!</definedName>
    <definedName name="seinad" localSheetId="1">#REF!</definedName>
    <definedName name="seinad">#REF!</definedName>
    <definedName name="seintelisa" localSheetId="0">#REF!</definedName>
    <definedName name="seintelisa" localSheetId="1">#REF!</definedName>
    <definedName name="seintelisa">#REF!</definedName>
    <definedName name="siseviimistlus" localSheetId="0">#REF!</definedName>
    <definedName name="siseviimistlus" localSheetId="1">#REF!</definedName>
    <definedName name="siseviimistlus">#REF!</definedName>
    <definedName name="sissevool" localSheetId="0">#REF!</definedName>
    <definedName name="sissevool">#REF!</definedName>
    <definedName name="sisu">#REF!</definedName>
    <definedName name="SOTS">#REF!</definedName>
    <definedName name="START">#REF!</definedName>
    <definedName name="suletud_netopind" localSheetId="0">#REF!</definedName>
    <definedName name="suletud_netopind" localSheetId="1">#REF!</definedName>
    <definedName name="suletud_netopind">#REF!</definedName>
    <definedName name="suurim_eelarverea_yletamine">#REF!</definedName>
    <definedName name="Tabel" localSheetId="0">#REF!</definedName>
    <definedName name="Tabel" localSheetId="1">#REF!</definedName>
    <definedName name="Tabel">#REF!</definedName>
    <definedName name="tala" localSheetId="0">#REF!</definedName>
    <definedName name="tala" localSheetId="1">#REF!</definedName>
    <definedName name="tala">#REF!</definedName>
    <definedName name="Tammsdasd">#REF!</definedName>
    <definedName name="TASU" localSheetId="0">#REF!</definedName>
    <definedName name="TASU" localSheetId="1">#REF!</definedName>
    <definedName name="TASU">#REF!</definedName>
    <definedName name="teg">OFFSET(#REF!,0,#REF!,1,#REF!)</definedName>
    <definedName name="teg_1">OFFSET(#REF!,0,0,1,#REF!)</definedName>
    <definedName name="teg_2">OFFSET(#REF!,29,0,1,#REF!)</definedName>
    <definedName name="teg_3">OFFSET(#REF!,59,0,1,#REF!)</definedName>
    <definedName name="teg_4">OFFSET(#REF!,87,0,1,#REF!)</definedName>
    <definedName name="Tehnoloog">#REF!</definedName>
    <definedName name="Tellija">#REF!</definedName>
    <definedName name="tellisseinad" localSheetId="0">#REF!</definedName>
    <definedName name="tellisseinad" localSheetId="1">#REF!</definedName>
    <definedName name="tellisseinad">#REF!</definedName>
    <definedName name="terastalad" localSheetId="0">#REF!</definedName>
    <definedName name="terastalad" localSheetId="1">#REF!</definedName>
    <definedName name="terastalad">#REF!</definedName>
    <definedName name="Toode">#REF!</definedName>
    <definedName name="TRANS" localSheetId="0">#REF!</definedName>
    <definedName name="TRANS" localSheetId="1">#REF!</definedName>
    <definedName name="TRANS">#REF!</definedName>
    <definedName name="Uus" localSheetId="0">#REF!</definedName>
    <definedName name="Uus" localSheetId="1">#REF!</definedName>
    <definedName name="Uus">#REF!</definedName>
    <definedName name="v" localSheetId="0">#REF!</definedName>
    <definedName name="v" localSheetId="1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1" l="1"/>
  <c r="AK94" i="22"/>
  <c r="AJ94" i="22"/>
  <c r="AI94" i="22"/>
  <c r="AC94" i="22"/>
  <c r="AB94" i="22"/>
  <c r="AA94" i="22"/>
  <c r="Y94" i="22"/>
  <c r="X94" i="22"/>
  <c r="W94" i="22"/>
  <c r="U94" i="22"/>
  <c r="S94" i="22"/>
  <c r="Q94" i="22"/>
  <c r="O94" i="22"/>
  <c r="M94" i="22"/>
  <c r="K94" i="22"/>
  <c r="F94" i="22"/>
  <c r="AG91" i="22"/>
  <c r="AF91" i="22"/>
  <c r="AE91" i="22"/>
  <c r="AI91" i="22" s="1"/>
  <c r="AC91" i="22"/>
  <c r="AB91" i="22"/>
  <c r="AJ91" i="22" s="1"/>
  <c r="K91" i="22"/>
  <c r="I91" i="22"/>
  <c r="AG90" i="22"/>
  <c r="Y90" i="22"/>
  <c r="U90" i="22"/>
  <c r="S90" i="22"/>
  <c r="Q90" i="22"/>
  <c r="O90" i="22"/>
  <c r="M90" i="22"/>
  <c r="K90" i="22"/>
  <c r="D90" i="22"/>
  <c r="I90" i="22" s="1"/>
  <c r="U89" i="22"/>
  <c r="S89" i="22"/>
  <c r="Q89" i="22"/>
  <c r="O89" i="22"/>
  <c r="M89" i="22"/>
  <c r="K89" i="22"/>
  <c r="I89" i="22"/>
  <c r="D89" i="22"/>
  <c r="F89" i="22" s="1"/>
  <c r="U88" i="22"/>
  <c r="S88" i="22"/>
  <c r="Q88" i="22"/>
  <c r="O88" i="22"/>
  <c r="M88" i="22"/>
  <c r="K88" i="22"/>
  <c r="I88" i="22"/>
  <c r="X87" i="22"/>
  <c r="W87" i="22"/>
  <c r="U87" i="22"/>
  <c r="S87" i="22"/>
  <c r="Q87" i="22"/>
  <c r="O87" i="22"/>
  <c r="M87" i="22"/>
  <c r="K87" i="22"/>
  <c r="I87" i="22"/>
  <c r="D87" i="22"/>
  <c r="F87" i="22" s="1"/>
  <c r="AG86" i="22"/>
  <c r="AF86" i="22"/>
  <c r="AE86" i="22"/>
  <c r="U86" i="22"/>
  <c r="S86" i="22"/>
  <c r="Q86" i="22"/>
  <c r="O86" i="22"/>
  <c r="M86" i="22"/>
  <c r="K86" i="22"/>
  <c r="D86" i="22"/>
  <c r="AE85" i="22"/>
  <c r="U85" i="22"/>
  <c r="S85" i="22"/>
  <c r="Y85" i="22" s="1"/>
  <c r="Q85" i="22"/>
  <c r="O85" i="22"/>
  <c r="M85" i="22"/>
  <c r="K85" i="22"/>
  <c r="F85" i="22"/>
  <c r="D85" i="22"/>
  <c r="I85" i="22" s="1"/>
  <c r="AG84" i="22"/>
  <c r="AF84" i="22"/>
  <c r="AH84" i="22" s="1"/>
  <c r="AE84" i="22"/>
  <c r="U84" i="22"/>
  <c r="S84" i="22"/>
  <c r="Q84" i="22"/>
  <c r="O84" i="22"/>
  <c r="M84" i="22"/>
  <c r="K84" i="22"/>
  <c r="I84" i="22"/>
  <c r="D84" i="22"/>
  <c r="F84" i="22" s="1"/>
  <c r="AF83" i="22"/>
  <c r="AE83" i="22"/>
  <c r="Y83" i="22"/>
  <c r="U83" i="22"/>
  <c r="S83" i="22"/>
  <c r="Q83" i="22"/>
  <c r="O83" i="22"/>
  <c r="M83" i="22"/>
  <c r="K83" i="22"/>
  <c r="I83" i="22"/>
  <c r="D83" i="22"/>
  <c r="F83" i="22" s="1"/>
  <c r="AG82" i="22"/>
  <c r="Y82" i="22"/>
  <c r="U82" i="22"/>
  <c r="S82" i="22"/>
  <c r="Q82" i="22"/>
  <c r="O82" i="22"/>
  <c r="M82" i="22"/>
  <c r="K82" i="22"/>
  <c r="I82" i="22"/>
  <c r="F82" i="22"/>
  <c r="D82" i="22"/>
  <c r="AG81" i="22"/>
  <c r="AF81" i="22"/>
  <c r="AH81" i="22" s="1"/>
  <c r="Y81" i="22"/>
  <c r="U81" i="22"/>
  <c r="S81" i="22"/>
  <c r="Q81" i="22"/>
  <c r="AE81" i="22" s="1"/>
  <c r="O81" i="22"/>
  <c r="M81" i="22"/>
  <c r="K81" i="22"/>
  <c r="D81" i="22"/>
  <c r="AG80" i="22"/>
  <c r="U80" i="22"/>
  <c r="S80" i="22"/>
  <c r="Q80" i="22"/>
  <c r="O80" i="22"/>
  <c r="M80" i="22"/>
  <c r="K80" i="22"/>
  <c r="I80" i="22"/>
  <c r="AH79" i="22"/>
  <c r="AG79" i="22"/>
  <c r="AF79" i="22"/>
  <c r="Y79" i="22"/>
  <c r="U79" i="22"/>
  <c r="S79" i="22"/>
  <c r="Q79" i="22"/>
  <c r="AE79" i="22" s="1"/>
  <c r="O79" i="22"/>
  <c r="M79" i="22"/>
  <c r="K79" i="22"/>
  <c r="D79" i="22"/>
  <c r="U78" i="22"/>
  <c r="S78" i="22"/>
  <c r="Q78" i="22"/>
  <c r="O78" i="22"/>
  <c r="M78" i="22"/>
  <c r="K78" i="22"/>
  <c r="I78" i="22"/>
  <c r="D78" i="22"/>
  <c r="F78" i="22" s="1"/>
  <c r="AF77" i="22"/>
  <c r="AE77" i="22"/>
  <c r="U77" i="22"/>
  <c r="S77" i="22"/>
  <c r="Q77" i="22"/>
  <c r="O77" i="22"/>
  <c r="M77" i="22"/>
  <c r="K77" i="22"/>
  <c r="D77" i="22"/>
  <c r="I77" i="22" s="1"/>
  <c r="AG76" i="22"/>
  <c r="AF76" i="22"/>
  <c r="AE76" i="22"/>
  <c r="Y76" i="22"/>
  <c r="U76" i="22"/>
  <c r="S76" i="22"/>
  <c r="Q76" i="22"/>
  <c r="O76" i="22"/>
  <c r="M76" i="22"/>
  <c r="K76" i="22"/>
  <c r="D76" i="22"/>
  <c r="I76" i="22" s="1"/>
  <c r="U75" i="22"/>
  <c r="S75" i="22"/>
  <c r="Q75" i="22"/>
  <c r="O75" i="22"/>
  <c r="M75" i="22"/>
  <c r="K75" i="22"/>
  <c r="I75" i="22"/>
  <c r="D75" i="22"/>
  <c r="F75" i="22" s="1"/>
  <c r="U74" i="22"/>
  <c r="AG74" i="22" s="1"/>
  <c r="S74" i="22"/>
  <c r="Q74" i="22"/>
  <c r="O74" i="22"/>
  <c r="M74" i="22"/>
  <c r="K74" i="22"/>
  <c r="F74" i="22"/>
  <c r="D74" i="22"/>
  <c r="I74" i="22" s="1"/>
  <c r="AE73" i="22"/>
  <c r="Y73" i="22"/>
  <c r="X73" i="22"/>
  <c r="U73" i="22"/>
  <c r="S73" i="22"/>
  <c r="Q73" i="22"/>
  <c r="O73" i="22"/>
  <c r="M73" i="22"/>
  <c r="K73" i="22"/>
  <c r="D73" i="22"/>
  <c r="I73" i="22" s="1"/>
  <c r="AG72" i="22"/>
  <c r="AF72" i="22"/>
  <c r="AH72" i="22" s="1"/>
  <c r="AE72" i="22"/>
  <c r="Y72" i="22"/>
  <c r="U72" i="22"/>
  <c r="S72" i="22"/>
  <c r="Q72" i="22"/>
  <c r="O72" i="22"/>
  <c r="M72" i="22"/>
  <c r="K72" i="22"/>
  <c r="I72" i="22"/>
  <c r="D72" i="22"/>
  <c r="AG71" i="22"/>
  <c r="AF71" i="22"/>
  <c r="Y71" i="22"/>
  <c r="U71" i="22"/>
  <c r="S71" i="22"/>
  <c r="Q71" i="22"/>
  <c r="AE71" i="22" s="1"/>
  <c r="AH71" i="22" s="1"/>
  <c r="O71" i="22"/>
  <c r="M71" i="22"/>
  <c r="K71" i="22"/>
  <c r="I71" i="22"/>
  <c r="D71" i="22"/>
  <c r="F71" i="22" s="1"/>
  <c r="U70" i="22"/>
  <c r="S70" i="22"/>
  <c r="Q70" i="22"/>
  <c r="O70" i="22"/>
  <c r="M70" i="22"/>
  <c r="K70" i="22"/>
  <c r="I70" i="22"/>
  <c r="D70" i="22"/>
  <c r="F70" i="22" s="1"/>
  <c r="AG69" i="22"/>
  <c r="AF69" i="22"/>
  <c r="AH69" i="22" s="1"/>
  <c r="AE69" i="22"/>
  <c r="U69" i="22"/>
  <c r="S69" i="22"/>
  <c r="Q69" i="22"/>
  <c r="O69" i="22"/>
  <c r="M69" i="22"/>
  <c r="K69" i="22"/>
  <c r="F69" i="22"/>
  <c r="D69" i="22"/>
  <c r="I69" i="22" s="1"/>
  <c r="AG68" i="22"/>
  <c r="AF68" i="22"/>
  <c r="AE68" i="22"/>
  <c r="Y68" i="22"/>
  <c r="U68" i="22"/>
  <c r="S68" i="22"/>
  <c r="Q68" i="22"/>
  <c r="O68" i="22"/>
  <c r="M68" i="22"/>
  <c r="K68" i="22"/>
  <c r="D68" i="22"/>
  <c r="U67" i="22"/>
  <c r="S67" i="22"/>
  <c r="Q67" i="22"/>
  <c r="AE67" i="22" s="1"/>
  <c r="O67" i="22"/>
  <c r="M67" i="22"/>
  <c r="K67" i="22"/>
  <c r="I67" i="22"/>
  <c r="D67" i="22"/>
  <c r="F67" i="22" s="1"/>
  <c r="U66" i="22"/>
  <c r="AG66" i="22" s="1"/>
  <c r="S66" i="22"/>
  <c r="Q66" i="22"/>
  <c r="O66" i="22"/>
  <c r="M66" i="22"/>
  <c r="K66" i="22"/>
  <c r="I66" i="22"/>
  <c r="F66" i="22"/>
  <c r="D66" i="22"/>
  <c r="AE65" i="22"/>
  <c r="Y65" i="22"/>
  <c r="X65" i="22"/>
  <c r="W65" i="22"/>
  <c r="U65" i="22"/>
  <c r="S65" i="22"/>
  <c r="Q65" i="22"/>
  <c r="O65" i="22"/>
  <c r="M65" i="22"/>
  <c r="K65" i="22"/>
  <c r="D65" i="22"/>
  <c r="I65" i="22" s="1"/>
  <c r="AG64" i="22"/>
  <c r="AF64" i="22"/>
  <c r="AE64" i="22"/>
  <c r="AH64" i="22" s="1"/>
  <c r="Y64" i="22"/>
  <c r="U64" i="22"/>
  <c r="S64" i="22"/>
  <c r="Q64" i="22"/>
  <c r="O64" i="22"/>
  <c r="M64" i="22"/>
  <c r="K64" i="22"/>
  <c r="D64" i="22"/>
  <c r="AH63" i="22"/>
  <c r="AG63" i="22"/>
  <c r="AF63" i="22"/>
  <c r="Y63" i="22"/>
  <c r="U63" i="22"/>
  <c r="S63" i="22"/>
  <c r="Q63" i="22"/>
  <c r="AE63" i="22" s="1"/>
  <c r="O63" i="22"/>
  <c r="M63" i="22"/>
  <c r="K63" i="22"/>
  <c r="D63" i="22"/>
  <c r="U62" i="22"/>
  <c r="S62" i="22"/>
  <c r="Q62" i="22"/>
  <c r="O62" i="22"/>
  <c r="M62" i="22"/>
  <c r="K62" i="22"/>
  <c r="I62" i="22"/>
  <c r="D62" i="22"/>
  <c r="F62" i="22" s="1"/>
  <c r="AG61" i="22"/>
  <c r="AF61" i="22"/>
  <c r="AE61" i="22"/>
  <c r="AH61" i="22" s="1"/>
  <c r="U61" i="22"/>
  <c r="S61" i="22"/>
  <c r="Q61" i="22"/>
  <c r="O61" i="22"/>
  <c r="M61" i="22"/>
  <c r="K61" i="22"/>
  <c r="D61" i="22"/>
  <c r="I61" i="22" s="1"/>
  <c r="AG60" i="22"/>
  <c r="AF60" i="22"/>
  <c r="Y60" i="22"/>
  <c r="X60" i="22"/>
  <c r="W60" i="22"/>
  <c r="Z60" i="22" s="1"/>
  <c r="U60" i="22"/>
  <c r="S60" i="22"/>
  <c r="Q60" i="22"/>
  <c r="O60" i="22"/>
  <c r="M60" i="22"/>
  <c r="K60" i="22"/>
  <c r="I60" i="22"/>
  <c r="F60" i="22"/>
  <c r="D60" i="22"/>
  <c r="AG59" i="22"/>
  <c r="Y59" i="22"/>
  <c r="X59" i="22"/>
  <c r="U59" i="22"/>
  <c r="S59" i="22"/>
  <c r="Q59" i="22"/>
  <c r="AF59" i="22" s="1"/>
  <c r="O59" i="22"/>
  <c r="M59" i="22"/>
  <c r="K59" i="22"/>
  <c r="I59" i="22"/>
  <c r="D59" i="22"/>
  <c r="AF58" i="22"/>
  <c r="AE58" i="22"/>
  <c r="AH58" i="22" s="1"/>
  <c r="U58" i="22"/>
  <c r="AG58" i="22" s="1"/>
  <c r="S58" i="22"/>
  <c r="Q58" i="22"/>
  <c r="O58" i="22"/>
  <c r="M58" i="22"/>
  <c r="K58" i="22"/>
  <c r="F58" i="22"/>
  <c r="D58" i="22"/>
  <c r="I58" i="22" s="1"/>
  <c r="U57" i="22"/>
  <c r="S57" i="22"/>
  <c r="Q57" i="22"/>
  <c r="AE57" i="22" s="1"/>
  <c r="O57" i="22"/>
  <c r="M57" i="22"/>
  <c r="K57" i="22"/>
  <c r="I57" i="22"/>
  <c r="F57" i="22"/>
  <c r="D57" i="22"/>
  <c r="AG56" i="22"/>
  <c r="AF56" i="22"/>
  <c r="AE56" i="22"/>
  <c r="Y56" i="22"/>
  <c r="U56" i="22"/>
  <c r="S56" i="22"/>
  <c r="Q56" i="22"/>
  <c r="O56" i="22"/>
  <c r="M56" i="22"/>
  <c r="K56" i="22"/>
  <c r="I56" i="22"/>
  <c r="F56" i="22"/>
  <c r="D56" i="22"/>
  <c r="Y55" i="22"/>
  <c r="W55" i="22"/>
  <c r="U55" i="22"/>
  <c r="S55" i="22"/>
  <c r="Q55" i="22"/>
  <c r="O55" i="22"/>
  <c r="M55" i="22"/>
  <c r="K55" i="22"/>
  <c r="D55" i="22"/>
  <c r="AF54" i="22"/>
  <c r="X54" i="22"/>
  <c r="W54" i="22"/>
  <c r="Z54" i="22" s="1"/>
  <c r="U54" i="22"/>
  <c r="S54" i="22"/>
  <c r="Y54" i="22" s="1"/>
  <c r="Q54" i="22"/>
  <c r="O54" i="22"/>
  <c r="M54" i="22"/>
  <c r="K54" i="22"/>
  <c r="D54" i="22"/>
  <c r="I54" i="22" s="1"/>
  <c r="AG53" i="22"/>
  <c r="AF53" i="22"/>
  <c r="AE53" i="22"/>
  <c r="X53" i="22"/>
  <c r="U53" i="22"/>
  <c r="S53" i="22"/>
  <c r="Q53" i="22"/>
  <c r="AH53" i="22" s="1"/>
  <c r="O53" i="22"/>
  <c r="M53" i="22"/>
  <c r="K53" i="22"/>
  <c r="I53" i="22"/>
  <c r="F53" i="22"/>
  <c r="D53" i="22"/>
  <c r="AG52" i="22"/>
  <c r="AF52" i="22"/>
  <c r="AH52" i="22" s="1"/>
  <c r="AE52" i="22"/>
  <c r="Y52" i="22"/>
  <c r="U52" i="22"/>
  <c r="S52" i="22"/>
  <c r="Q52" i="22"/>
  <c r="O52" i="22"/>
  <c r="M52" i="22"/>
  <c r="K52" i="22"/>
  <c r="D52" i="22"/>
  <c r="AG51" i="22"/>
  <c r="X51" i="22"/>
  <c r="U51" i="22"/>
  <c r="S51" i="22"/>
  <c r="Q51" i="22"/>
  <c r="O51" i="22"/>
  <c r="M51" i="22"/>
  <c r="K51" i="22"/>
  <c r="I51" i="22"/>
  <c r="D51" i="22"/>
  <c r="F51" i="22" s="1"/>
  <c r="AF50" i="22"/>
  <c r="AE50" i="22"/>
  <c r="Y50" i="22"/>
  <c r="W50" i="22"/>
  <c r="U50" i="22"/>
  <c r="S50" i="22"/>
  <c r="Q50" i="22"/>
  <c r="O50" i="22"/>
  <c r="M50" i="22"/>
  <c r="K50" i="22"/>
  <c r="D50" i="22"/>
  <c r="I50" i="22" s="1"/>
  <c r="AG49" i="22"/>
  <c r="AF49" i="22"/>
  <c r="U49" i="22"/>
  <c r="S49" i="22"/>
  <c r="Q49" i="22"/>
  <c r="O49" i="22"/>
  <c r="M49" i="22"/>
  <c r="K49" i="22"/>
  <c r="I49" i="22"/>
  <c r="F49" i="22"/>
  <c r="D49" i="22"/>
  <c r="AG48" i="22"/>
  <c r="Y48" i="22"/>
  <c r="U48" i="22"/>
  <c r="S48" i="22"/>
  <c r="Q48" i="22"/>
  <c r="O48" i="22"/>
  <c r="M48" i="22"/>
  <c r="K48" i="22"/>
  <c r="D48" i="22"/>
  <c r="I48" i="22" s="1"/>
  <c r="Y47" i="22"/>
  <c r="X47" i="22"/>
  <c r="Z47" i="22" s="1"/>
  <c r="U47" i="22"/>
  <c r="AG47" i="22" s="1"/>
  <c r="S47" i="22"/>
  <c r="W47" i="22" s="1"/>
  <c r="Q47" i="22"/>
  <c r="O47" i="22"/>
  <c r="M47" i="22"/>
  <c r="K47" i="22"/>
  <c r="I47" i="22"/>
  <c r="D47" i="22"/>
  <c r="F47" i="22" s="1"/>
  <c r="AG46" i="22"/>
  <c r="U46" i="22"/>
  <c r="S46" i="22"/>
  <c r="Q46" i="22"/>
  <c r="O46" i="22"/>
  <c r="M46" i="22"/>
  <c r="K46" i="22"/>
  <c r="I46" i="22"/>
  <c r="F46" i="22"/>
  <c r="D46" i="22"/>
  <c r="AF45" i="22"/>
  <c r="AE45" i="22"/>
  <c r="Y45" i="22"/>
  <c r="X45" i="22"/>
  <c r="W45" i="22"/>
  <c r="Z45" i="22" s="1"/>
  <c r="U45" i="22"/>
  <c r="S45" i="22"/>
  <c r="Q45" i="22"/>
  <c r="O45" i="22"/>
  <c r="M45" i="22"/>
  <c r="K45" i="22"/>
  <c r="D45" i="22"/>
  <c r="I45" i="22" s="1"/>
  <c r="AH44" i="22"/>
  <c r="AG44" i="22"/>
  <c r="AF44" i="22"/>
  <c r="AE44" i="22"/>
  <c r="U44" i="22"/>
  <c r="S44" i="22"/>
  <c r="Y44" i="22" s="1"/>
  <c r="Q44" i="22"/>
  <c r="O44" i="22"/>
  <c r="M44" i="22"/>
  <c r="K44" i="22"/>
  <c r="D44" i="22"/>
  <c r="Y43" i="22"/>
  <c r="U43" i="22"/>
  <c r="S43" i="22"/>
  <c r="Q43" i="22"/>
  <c r="O43" i="22"/>
  <c r="M43" i="22"/>
  <c r="K43" i="22"/>
  <c r="D43" i="22"/>
  <c r="I43" i="22" s="1"/>
  <c r="AE42" i="22"/>
  <c r="Y42" i="22"/>
  <c r="U42" i="22"/>
  <c r="S42" i="22"/>
  <c r="Q42" i="22"/>
  <c r="AF42" i="22" s="1"/>
  <c r="O42" i="22"/>
  <c r="M42" i="22"/>
  <c r="K42" i="22"/>
  <c r="I42" i="22"/>
  <c r="F42" i="22"/>
  <c r="D42" i="22"/>
  <c r="Y41" i="22"/>
  <c r="U41" i="22"/>
  <c r="S41" i="22"/>
  <c r="Q41" i="22"/>
  <c r="O41" i="22"/>
  <c r="M41" i="22"/>
  <c r="K41" i="22"/>
  <c r="D41" i="22"/>
  <c r="I41" i="22" s="1"/>
  <c r="AG40" i="22"/>
  <c r="Y40" i="22"/>
  <c r="U40" i="22"/>
  <c r="S40" i="22"/>
  <c r="Q40" i="22"/>
  <c r="AF40" i="22" s="1"/>
  <c r="O40" i="22"/>
  <c r="M40" i="22"/>
  <c r="K40" i="22"/>
  <c r="F40" i="22"/>
  <c r="D40" i="22"/>
  <c r="I40" i="22" s="1"/>
  <c r="AG39" i="22"/>
  <c r="W39" i="22"/>
  <c r="U39" i="22"/>
  <c r="S39" i="22"/>
  <c r="Q39" i="22"/>
  <c r="O39" i="22"/>
  <c r="M39" i="22"/>
  <c r="K39" i="22"/>
  <c r="I39" i="22"/>
  <c r="D39" i="22"/>
  <c r="F39" i="22" s="1"/>
  <c r="AG38" i="22"/>
  <c r="AE38" i="22"/>
  <c r="X38" i="22"/>
  <c r="U38" i="22"/>
  <c r="S38" i="22"/>
  <c r="Y38" i="22" s="1"/>
  <c r="Q38" i="22"/>
  <c r="AF38" i="22" s="1"/>
  <c r="O38" i="22"/>
  <c r="M38" i="22"/>
  <c r="K38" i="22"/>
  <c r="D38" i="22"/>
  <c r="Y37" i="22"/>
  <c r="U37" i="22"/>
  <c r="AG37" i="22" s="1"/>
  <c r="S37" i="22"/>
  <c r="Q37" i="22"/>
  <c r="O37" i="22"/>
  <c r="M37" i="22"/>
  <c r="K37" i="22"/>
  <c r="I37" i="22"/>
  <c r="F37" i="22"/>
  <c r="D37" i="22"/>
  <c r="AG36" i="22"/>
  <c r="AE36" i="22"/>
  <c r="Y36" i="22"/>
  <c r="X36" i="22"/>
  <c r="U36" i="22"/>
  <c r="S36" i="22"/>
  <c r="W36" i="22" s="1"/>
  <c r="Z36" i="22" s="1"/>
  <c r="Q36" i="22"/>
  <c r="AF36" i="22" s="1"/>
  <c r="O36" i="22"/>
  <c r="M36" i="22"/>
  <c r="K36" i="22"/>
  <c r="D36" i="22"/>
  <c r="AG35" i="22"/>
  <c r="AH35" i="22" s="1"/>
  <c r="AF35" i="22"/>
  <c r="AE35" i="22"/>
  <c r="U35" i="22"/>
  <c r="S35" i="22"/>
  <c r="Q35" i="22"/>
  <c r="O35" i="22"/>
  <c r="M35" i="22"/>
  <c r="K35" i="22"/>
  <c r="I35" i="22"/>
  <c r="F35" i="22"/>
  <c r="D35" i="22"/>
  <c r="AF34" i="22"/>
  <c r="AE34" i="22"/>
  <c r="AH34" i="22" s="1"/>
  <c r="Y34" i="22"/>
  <c r="X34" i="22"/>
  <c r="W34" i="22"/>
  <c r="Z34" i="22" s="1"/>
  <c r="U34" i="22"/>
  <c r="AG34" i="22" s="1"/>
  <c r="S34" i="22"/>
  <c r="Q34" i="22"/>
  <c r="O34" i="22"/>
  <c r="M34" i="22"/>
  <c r="K34" i="22"/>
  <c r="I34" i="22"/>
  <c r="F34" i="22"/>
  <c r="D34" i="22"/>
  <c r="AG33" i="22"/>
  <c r="AH33" i="22" s="1"/>
  <c r="AF33" i="22"/>
  <c r="AE33" i="22"/>
  <c r="U33" i="22"/>
  <c r="S33" i="22"/>
  <c r="Q33" i="22"/>
  <c r="O33" i="22"/>
  <c r="M33" i="22"/>
  <c r="K33" i="22"/>
  <c r="I33" i="22"/>
  <c r="F33" i="22"/>
  <c r="D33" i="22"/>
  <c r="AG32" i="22"/>
  <c r="AF32" i="22"/>
  <c r="AE32" i="22"/>
  <c r="Y32" i="22"/>
  <c r="X32" i="22"/>
  <c r="W32" i="22"/>
  <c r="Z32" i="22" s="1"/>
  <c r="U32" i="22"/>
  <c r="S32" i="22"/>
  <c r="Q32" i="22"/>
  <c r="AH32" i="22" s="1"/>
  <c r="O32" i="22"/>
  <c r="M32" i="22"/>
  <c r="K32" i="22"/>
  <c r="I32" i="22"/>
  <c r="F32" i="22"/>
  <c r="D32" i="22"/>
  <c r="AG31" i="22"/>
  <c r="Y31" i="22"/>
  <c r="U31" i="22"/>
  <c r="S31" i="22"/>
  <c r="W31" i="22" s="1"/>
  <c r="Q31" i="22"/>
  <c r="O31" i="22"/>
  <c r="M31" i="22"/>
  <c r="K31" i="22"/>
  <c r="F31" i="22"/>
  <c r="D31" i="22"/>
  <c r="I31" i="22" s="1"/>
  <c r="AG30" i="22"/>
  <c r="AE30" i="22"/>
  <c r="AH30" i="22" s="1"/>
  <c r="Y30" i="22"/>
  <c r="X30" i="22"/>
  <c r="U30" i="22"/>
  <c r="S30" i="22"/>
  <c r="Q30" i="22"/>
  <c r="AF30" i="22" s="1"/>
  <c r="O30" i="22"/>
  <c r="M30" i="22"/>
  <c r="K30" i="22"/>
  <c r="D30" i="22"/>
  <c r="AG29" i="22"/>
  <c r="AH29" i="22" s="1"/>
  <c r="AF29" i="22"/>
  <c r="AE29" i="22"/>
  <c r="U29" i="22"/>
  <c r="S29" i="22"/>
  <c r="Q29" i="22"/>
  <c r="O29" i="22"/>
  <c r="M29" i="22"/>
  <c r="K29" i="22"/>
  <c r="I29" i="22"/>
  <c r="D29" i="22"/>
  <c r="F29" i="22" s="1"/>
  <c r="AG28" i="22"/>
  <c r="AE28" i="22"/>
  <c r="Y28" i="22"/>
  <c r="U28" i="22"/>
  <c r="S28" i="22"/>
  <c r="Q28" i="22"/>
  <c r="O28" i="22"/>
  <c r="M28" i="22"/>
  <c r="K28" i="22"/>
  <c r="I28" i="22"/>
  <c r="F28" i="22"/>
  <c r="D28" i="22"/>
  <c r="U27" i="22"/>
  <c r="S27" i="22"/>
  <c r="Q27" i="22"/>
  <c r="O27" i="22"/>
  <c r="M27" i="22"/>
  <c r="K27" i="22"/>
  <c r="I27" i="22"/>
  <c r="F27" i="22"/>
  <c r="D27" i="22"/>
  <c r="AF26" i="22"/>
  <c r="AE26" i="22"/>
  <c r="U26" i="22"/>
  <c r="AG26" i="22" s="1"/>
  <c r="S26" i="22"/>
  <c r="Q26" i="22"/>
  <c r="O26" i="22"/>
  <c r="M26" i="22"/>
  <c r="K26" i="22"/>
  <c r="I26" i="22"/>
  <c r="F26" i="22"/>
  <c r="D26" i="22"/>
  <c r="AE25" i="22"/>
  <c r="U25" i="22"/>
  <c r="S25" i="22"/>
  <c r="Y25" i="22" s="1"/>
  <c r="Q25" i="22"/>
  <c r="O25" i="22"/>
  <c r="M25" i="22"/>
  <c r="K25" i="22"/>
  <c r="D25" i="22"/>
  <c r="I25" i="22" s="1"/>
  <c r="AG24" i="22"/>
  <c r="Y24" i="22"/>
  <c r="U24" i="22"/>
  <c r="S24" i="22"/>
  <c r="Q24" i="22"/>
  <c r="O24" i="22"/>
  <c r="M24" i="22"/>
  <c r="K24" i="22"/>
  <c r="I24" i="22"/>
  <c r="D24" i="22"/>
  <c r="AG23" i="22"/>
  <c r="AE23" i="22"/>
  <c r="AH23" i="22" s="1"/>
  <c r="Y23" i="22"/>
  <c r="W23" i="22"/>
  <c r="U23" i="22"/>
  <c r="S23" i="22"/>
  <c r="Q23" i="22"/>
  <c r="AF23" i="22" s="1"/>
  <c r="O23" i="22"/>
  <c r="M23" i="22"/>
  <c r="K23" i="22"/>
  <c r="F23" i="22"/>
  <c r="D23" i="22"/>
  <c r="I23" i="22" s="1"/>
  <c r="AG22" i="22"/>
  <c r="AH22" i="22" s="1"/>
  <c r="AF22" i="22"/>
  <c r="AE22" i="22"/>
  <c r="U22" i="22"/>
  <c r="S22" i="22"/>
  <c r="Q22" i="22"/>
  <c r="O22" i="22"/>
  <c r="M22" i="22"/>
  <c r="K22" i="22"/>
  <c r="I22" i="22"/>
  <c r="F22" i="22"/>
  <c r="D22" i="22"/>
  <c r="AG21" i="22"/>
  <c r="AF21" i="22"/>
  <c r="AH21" i="22" s="1"/>
  <c r="AE21" i="22"/>
  <c r="Y21" i="22"/>
  <c r="X21" i="22"/>
  <c r="U21" i="22"/>
  <c r="S21" i="22"/>
  <c r="Q21" i="22"/>
  <c r="O21" i="22"/>
  <c r="M21" i="22"/>
  <c r="K21" i="22"/>
  <c r="D21" i="22"/>
  <c r="AG20" i="22"/>
  <c r="U20" i="22"/>
  <c r="S20" i="22"/>
  <c r="W20" i="22" s="1"/>
  <c r="Q20" i="22"/>
  <c r="O20" i="22"/>
  <c r="M20" i="22"/>
  <c r="K20" i="22"/>
  <c r="I20" i="22"/>
  <c r="F20" i="22"/>
  <c r="D20" i="22"/>
  <c r="AG19" i="22"/>
  <c r="AE19" i="22"/>
  <c r="Y19" i="22"/>
  <c r="U19" i="22"/>
  <c r="S19" i="22"/>
  <c r="Q19" i="22"/>
  <c r="O19" i="22"/>
  <c r="M19" i="22"/>
  <c r="K19" i="22"/>
  <c r="D19" i="22"/>
  <c r="F19" i="22" s="1"/>
  <c r="Y18" i="22"/>
  <c r="U18" i="22"/>
  <c r="S18" i="22"/>
  <c r="Q18" i="22"/>
  <c r="O18" i="22"/>
  <c r="M18" i="22"/>
  <c r="K18" i="22"/>
  <c r="I18" i="22"/>
  <c r="F18" i="22"/>
  <c r="D18" i="22"/>
  <c r="AG17" i="22"/>
  <c r="AF17" i="22"/>
  <c r="AE17" i="22"/>
  <c r="U17" i="22"/>
  <c r="S17" i="22"/>
  <c r="Q17" i="22"/>
  <c r="AH17" i="22" s="1"/>
  <c r="O17" i="22"/>
  <c r="M17" i="22"/>
  <c r="K17" i="22"/>
  <c r="I17" i="22"/>
  <c r="F17" i="22"/>
  <c r="D17" i="22"/>
  <c r="AG16" i="22"/>
  <c r="X16" i="22"/>
  <c r="U16" i="22"/>
  <c r="S16" i="22"/>
  <c r="Q16" i="22"/>
  <c r="O16" i="22"/>
  <c r="M16" i="22"/>
  <c r="K16" i="22"/>
  <c r="D16" i="22"/>
  <c r="I16" i="22" s="1"/>
  <c r="AG15" i="22"/>
  <c r="Y15" i="22"/>
  <c r="U15" i="22"/>
  <c r="S15" i="22"/>
  <c r="Q15" i="22"/>
  <c r="AF15" i="22" s="1"/>
  <c r="O15" i="22"/>
  <c r="M15" i="22"/>
  <c r="K15" i="22"/>
  <c r="D15" i="22"/>
  <c r="I15" i="22" s="1"/>
  <c r="AF14" i="22"/>
  <c r="AE14" i="22"/>
  <c r="Y14" i="22"/>
  <c r="W14" i="22"/>
  <c r="U14" i="22"/>
  <c r="U93" i="22" s="1"/>
  <c r="S14" i="22"/>
  <c r="Q14" i="22"/>
  <c r="O14" i="22"/>
  <c r="M14" i="22"/>
  <c r="K14" i="22"/>
  <c r="F14" i="22"/>
  <c r="D14" i="22"/>
  <c r="I14" i="22" s="1"/>
  <c r="AG13" i="22"/>
  <c r="AF13" i="22"/>
  <c r="AE13" i="22"/>
  <c r="AH13" i="22" s="1"/>
  <c r="U13" i="22"/>
  <c r="S13" i="22"/>
  <c r="Q13" i="22"/>
  <c r="O13" i="22"/>
  <c r="M13" i="22"/>
  <c r="K13" i="22"/>
  <c r="I13" i="22"/>
  <c r="F13" i="22"/>
  <c r="D13" i="22"/>
  <c r="AG12" i="22"/>
  <c r="AE12" i="22"/>
  <c r="AH12" i="22" s="1"/>
  <c r="Y12" i="22"/>
  <c r="U12" i="22"/>
  <c r="S12" i="22"/>
  <c r="Q12" i="22"/>
  <c r="AF12" i="22" s="1"/>
  <c r="O12" i="22"/>
  <c r="M12" i="22"/>
  <c r="K12" i="22"/>
  <c r="I12" i="22"/>
  <c r="F12" i="22"/>
  <c r="D12" i="22"/>
  <c r="AF11" i="22"/>
  <c r="Y11" i="22"/>
  <c r="X11" i="22"/>
  <c r="W11" i="22"/>
  <c r="Z11" i="22" s="1"/>
  <c r="U11" i="22"/>
  <c r="AG11" i="22" s="1"/>
  <c r="S11" i="22"/>
  <c r="Q11" i="22"/>
  <c r="O11" i="22"/>
  <c r="M11" i="22"/>
  <c r="K11" i="22"/>
  <c r="I11" i="22"/>
  <c r="F11" i="22"/>
  <c r="D11" i="22"/>
  <c r="AG10" i="22"/>
  <c r="Y10" i="22"/>
  <c r="U10" i="22"/>
  <c r="S10" i="22"/>
  <c r="Q10" i="22"/>
  <c r="AF10" i="22" s="1"/>
  <c r="O10" i="22"/>
  <c r="M10" i="22"/>
  <c r="K10" i="22"/>
  <c r="F10" i="22"/>
  <c r="D10" i="22"/>
  <c r="I10" i="22" s="1"/>
  <c r="Y7" i="22"/>
  <c r="AU9" i="22"/>
  <c r="AG9" i="22"/>
  <c r="AE9" i="22"/>
  <c r="Y9" i="22"/>
  <c r="U9" i="22"/>
  <c r="S9" i="22"/>
  <c r="Q9" i="22"/>
  <c r="AF9" i="22" s="1"/>
  <c r="O9" i="22"/>
  <c r="M9" i="22"/>
  <c r="K9" i="22"/>
  <c r="F9" i="22"/>
  <c r="D9" i="22"/>
  <c r="I9" i="22" s="1"/>
  <c r="X63" i="22"/>
  <c r="AU8" i="22"/>
  <c r="AG8" i="22"/>
  <c r="AE8" i="22"/>
  <c r="Y8" i="22"/>
  <c r="U8" i="22"/>
  <c r="S8" i="22"/>
  <c r="Q8" i="22"/>
  <c r="O8" i="22"/>
  <c r="M8" i="22"/>
  <c r="K8" i="22"/>
  <c r="D8" i="22"/>
  <c r="I8" i="22" s="1"/>
  <c r="AU7" i="22"/>
  <c r="AU10" i="22" s="1"/>
  <c r="AV10" i="22" s="1"/>
  <c r="W9" i="22"/>
  <c r="AG7" i="22"/>
  <c r="AF7" i="22"/>
  <c r="AE7" i="22"/>
  <c r="AH7" i="22" s="1"/>
  <c r="U7" i="22"/>
  <c r="S7" i="22"/>
  <c r="Q7" i="22"/>
  <c r="O7" i="22"/>
  <c r="M7" i="22"/>
  <c r="K7" i="22"/>
  <c r="I7" i="22"/>
  <c r="D7" i="22"/>
  <c r="F7" i="22" s="1"/>
  <c r="D353" i="21"/>
  <c r="D342" i="21"/>
  <c r="D341" i="21" s="1"/>
  <c r="D331" i="21"/>
  <c r="D325" i="21"/>
  <c r="D284" i="21"/>
  <c r="D276" i="21"/>
  <c r="D218" i="21"/>
  <c r="D183" i="21"/>
  <c r="D155" i="21"/>
  <c r="D138" i="21"/>
  <c r="D108" i="21"/>
  <c r="D69" i="21"/>
  <c r="D67" i="21"/>
  <c r="D66" i="21" s="1"/>
  <c r="E31" i="21"/>
  <c r="E346" i="21" s="1"/>
  <c r="D31" i="21"/>
  <c r="Q26" i="21"/>
  <c r="D26" i="21"/>
  <c r="D23" i="21"/>
  <c r="Q22" i="21"/>
  <c r="D20" i="21"/>
  <c r="AJ19" i="21"/>
  <c r="AJ18" i="21"/>
  <c r="AJ17" i="21"/>
  <c r="AJ16" i="21"/>
  <c r="AJ15" i="21"/>
  <c r="AJ14" i="21"/>
  <c r="AJ13" i="21"/>
  <c r="AJ12" i="21"/>
  <c r="AJ11" i="21"/>
  <c r="D11" i="21"/>
  <c r="AJ10" i="21"/>
  <c r="Q10" i="21"/>
  <c r="P10" i="21"/>
  <c r="AJ9" i="21"/>
  <c r="D9" i="21"/>
  <c r="O8" i="21"/>
  <c r="P14" i="21" s="1"/>
  <c r="M8" i="21"/>
  <c r="N14" i="21" s="1"/>
  <c r="K8" i="21"/>
  <c r="L14" i="21" s="1"/>
  <c r="AV8" i="22" l="1"/>
  <c r="AB53" i="22" s="1"/>
  <c r="AJ53" i="22" s="1"/>
  <c r="AK25" i="22"/>
  <c r="AK14" i="21"/>
  <c r="AV9" i="22"/>
  <c r="AH24" i="22"/>
  <c r="Z50" i="22"/>
  <c r="AH28" i="22"/>
  <c r="Z26" i="22"/>
  <c r="AH16" i="22"/>
  <c r="AG18" i="22"/>
  <c r="AC18" i="22"/>
  <c r="AK18" i="22" s="1"/>
  <c r="X23" i="22"/>
  <c r="AF43" i="22"/>
  <c r="AE43" i="22"/>
  <c r="AH43" i="22" s="1"/>
  <c r="W51" i="22"/>
  <c r="Y51" i="22"/>
  <c r="Z51" i="22" s="1"/>
  <c r="K93" i="22"/>
  <c r="K92" i="22"/>
  <c r="Y29" i="22"/>
  <c r="X29" i="22"/>
  <c r="Y33" i="22"/>
  <c r="X33" i="22"/>
  <c r="W33" i="22"/>
  <c r="Z33" i="22" s="1"/>
  <c r="AF37" i="22"/>
  <c r="AE37" i="22"/>
  <c r="AH37" i="22" s="1"/>
  <c r="AK72" i="22"/>
  <c r="AK78" i="22"/>
  <c r="AF27" i="22"/>
  <c r="AE27" i="22"/>
  <c r="F15" i="22"/>
  <c r="AH19" i="22"/>
  <c r="Z25" i="22"/>
  <c r="X27" i="22"/>
  <c r="Y27" i="22"/>
  <c r="AK27" i="22" s="1"/>
  <c r="AG45" i="22"/>
  <c r="AC45" i="22"/>
  <c r="AK45" i="22" s="1"/>
  <c r="AG54" i="22"/>
  <c r="AC54" i="22"/>
  <c r="AV7" i="22"/>
  <c r="AA18" i="22" s="1"/>
  <c r="AF20" i="22"/>
  <c r="AE20" i="22"/>
  <c r="AH20" i="22" s="1"/>
  <c r="AG25" i="22"/>
  <c r="AC25" i="22"/>
  <c r="AG27" i="22"/>
  <c r="AH27" i="22" s="1"/>
  <c r="AC27" i="22"/>
  <c r="AK36" i="22"/>
  <c r="Z65" i="22"/>
  <c r="AH18" i="22"/>
  <c r="AF18" i="22"/>
  <c r="AE18" i="22"/>
  <c r="Y22" i="22"/>
  <c r="X22" i="22"/>
  <c r="W22" i="22"/>
  <c r="W25" i="22"/>
  <c r="AK59" i="22"/>
  <c r="Z16" i="22"/>
  <c r="Z17" i="22"/>
  <c r="X18" i="22"/>
  <c r="X25" i="22"/>
  <c r="AF51" i="22"/>
  <c r="AE51" i="22"/>
  <c r="AH51" i="22" s="1"/>
  <c r="F76" i="22"/>
  <c r="AK17" i="21"/>
  <c r="F8" i="22"/>
  <c r="W16" i="22"/>
  <c r="W18" i="22"/>
  <c r="AH36" i="22"/>
  <c r="AG50" i="22"/>
  <c r="AF74" i="22"/>
  <c r="AE74" i="22"/>
  <c r="AH74" i="22" s="1"/>
  <c r="Y74" i="22"/>
  <c r="X74" i="22"/>
  <c r="W74" i="22"/>
  <c r="Z74" i="22"/>
  <c r="AK47" i="22"/>
  <c r="AC15" i="22"/>
  <c r="AK15" i="22" s="1"/>
  <c r="X90" i="22"/>
  <c r="X81" i="22"/>
  <c r="X85" i="22"/>
  <c r="X76" i="22"/>
  <c r="X72" i="22"/>
  <c r="X68" i="22"/>
  <c r="X64" i="22"/>
  <c r="X84" i="22"/>
  <c r="Z84" i="22" s="1"/>
  <c r="X79" i="22"/>
  <c r="X83" i="22"/>
  <c r="X9" i="22"/>
  <c r="X42" i="22"/>
  <c r="X40" i="22"/>
  <c r="X28" i="22"/>
  <c r="X8" i="22"/>
  <c r="X82" i="22"/>
  <c r="X52" i="22"/>
  <c r="X24" i="22"/>
  <c r="X15" i="22"/>
  <c r="X71" i="22"/>
  <c r="X56" i="22"/>
  <c r="X46" i="22"/>
  <c r="X78" i="22"/>
  <c r="X37" i="22"/>
  <c r="X31" i="22"/>
  <c r="Z31" i="22" s="1"/>
  <c r="X55" i="22"/>
  <c r="X48" i="22"/>
  <c r="X43" i="22"/>
  <c r="AJ43" i="22" s="1"/>
  <c r="Y13" i="22"/>
  <c r="Y92" i="22" s="1"/>
  <c r="X13" i="22"/>
  <c r="W13" i="22"/>
  <c r="Z13" i="22" s="1"/>
  <c r="Y16" i="22"/>
  <c r="AF24" i="22"/>
  <c r="I38" i="22"/>
  <c r="F38" i="22"/>
  <c r="Z49" i="22"/>
  <c r="W29" i="22"/>
  <c r="Q24" i="21"/>
  <c r="AG14" i="22"/>
  <c r="AH14" i="22" s="1"/>
  <c r="AE24" i="22"/>
  <c r="AG43" i="22"/>
  <c r="AC43" i="22"/>
  <c r="AK43" i="22" s="1"/>
  <c r="AB43" i="22"/>
  <c r="AH45" i="22"/>
  <c r="D8" i="21"/>
  <c r="AH9" i="22"/>
  <c r="AC12" i="22"/>
  <c r="X14" i="22"/>
  <c r="I30" i="22"/>
  <c r="F30" i="22"/>
  <c r="AF41" i="22"/>
  <c r="AE41" i="22"/>
  <c r="AH41" i="22" s="1"/>
  <c r="AF46" i="22"/>
  <c r="AE46" i="22"/>
  <c r="AH46" i="22" s="1"/>
  <c r="W27" i="22"/>
  <c r="Z27" i="22" s="1"/>
  <c r="D30" i="21"/>
  <c r="D25" i="21" s="1"/>
  <c r="AC10" i="22"/>
  <c r="X12" i="22"/>
  <c r="AE15" i="22"/>
  <c r="I36" i="22"/>
  <c r="F36" i="22"/>
  <c r="W41" i="22"/>
  <c r="Z41" i="22" s="1"/>
  <c r="X41" i="22"/>
  <c r="AJ41" i="22" s="1"/>
  <c r="AF48" i="22"/>
  <c r="AE48" i="22"/>
  <c r="AH48" i="22" s="1"/>
  <c r="AE62" i="22"/>
  <c r="AF62" i="22"/>
  <c r="AC21" i="22"/>
  <c r="AK21" i="22" s="1"/>
  <c r="AK12" i="21"/>
  <c r="AK11" i="21"/>
  <c r="X10" i="22"/>
  <c r="AK12" i="22"/>
  <c r="AG41" i="22"/>
  <c r="AC41" i="22"/>
  <c r="AK41" i="22" s="1"/>
  <c r="AB41" i="22"/>
  <c r="AE55" i="22"/>
  <c r="AF55" i="22"/>
  <c r="AH55" i="22" s="1"/>
  <c r="Y62" i="22"/>
  <c r="AK62" i="22" s="1"/>
  <c r="Z62" i="22"/>
  <c r="X62" i="22"/>
  <c r="W35" i="22"/>
  <c r="Z35" i="22" s="1"/>
  <c r="Y35" i="22"/>
  <c r="X35" i="22"/>
  <c r="AJ35" i="22" s="1"/>
  <c r="AJ20" i="21"/>
  <c r="AK15" i="21" s="1"/>
  <c r="AK10" i="22"/>
  <c r="AC14" i="22"/>
  <c r="AK14" i="22" s="1"/>
  <c r="AH15" i="22"/>
  <c r="I21" i="22"/>
  <c r="F21" i="22"/>
  <c r="AF31" i="22"/>
  <c r="AE31" i="22"/>
  <c r="AH31" i="22" s="1"/>
  <c r="AE39" i="22"/>
  <c r="AH39" i="22" s="1"/>
  <c r="AF39" i="22"/>
  <c r="F44" i="22"/>
  <c r="AH50" i="22"/>
  <c r="F52" i="22"/>
  <c r="AG62" i="22"/>
  <c r="AH62" i="22" s="1"/>
  <c r="AC62" i="22"/>
  <c r="AB62" i="22"/>
  <c r="Y66" i="22"/>
  <c r="X66" i="22"/>
  <c r="W66" i="22"/>
  <c r="I68" i="22"/>
  <c r="AH25" i="22"/>
  <c r="O93" i="22"/>
  <c r="O92" i="22"/>
  <c r="AC37" i="22"/>
  <c r="AK37" i="22" s="1"/>
  <c r="AB37" i="22"/>
  <c r="AA37" i="22"/>
  <c r="AD37" i="22" s="1"/>
  <c r="Z20" i="22"/>
  <c r="Y20" i="22"/>
  <c r="X20" i="22"/>
  <c r="L10" i="21"/>
  <c r="I19" i="22"/>
  <c r="F24" i="22"/>
  <c r="Y39" i="22"/>
  <c r="X39" i="22"/>
  <c r="Z39" i="22" s="1"/>
  <c r="I44" i="22"/>
  <c r="AH47" i="22"/>
  <c r="I52" i="22"/>
  <c r="AG55" i="22"/>
  <c r="AC55" i="22"/>
  <c r="AK55" i="22" s="1"/>
  <c r="W62" i="22"/>
  <c r="F68" i="22"/>
  <c r="N10" i="21"/>
  <c r="AC31" i="22"/>
  <c r="AK31" i="22" s="1"/>
  <c r="AF78" i="22"/>
  <c r="AE78" i="22"/>
  <c r="AH78" i="22"/>
  <c r="M93" i="22"/>
  <c r="M92" i="22"/>
  <c r="AF8" i="22"/>
  <c r="AH8" i="22" s="1"/>
  <c r="AF19" i="22"/>
  <c r="AF28" i="22"/>
  <c r="AE40" i="22"/>
  <c r="AH40" i="22" s="1"/>
  <c r="AC47" i="22"/>
  <c r="AC51" i="22"/>
  <c r="AB51" i="22"/>
  <c r="AJ51" i="22" s="1"/>
  <c r="AH56" i="22"/>
  <c r="AG73" i="22"/>
  <c r="Y78" i="22"/>
  <c r="F81" i="22"/>
  <c r="I81" i="22"/>
  <c r="AF89" i="22"/>
  <c r="AE89" i="22"/>
  <c r="Z89" i="22"/>
  <c r="Y89" i="22"/>
  <c r="W89" i="22"/>
  <c r="Q29" i="21"/>
  <c r="Q92" i="22"/>
  <c r="Q93" i="22"/>
  <c r="AE10" i="22"/>
  <c r="AH10" i="22" s="1"/>
  <c r="AE11" i="22"/>
  <c r="AH11" i="22" s="1"/>
  <c r="AB35" i="22"/>
  <c r="W37" i="22"/>
  <c r="AI37" i="22" s="1"/>
  <c r="Y46" i="22"/>
  <c r="W46" i="22"/>
  <c r="Y77" i="22"/>
  <c r="X77" i="22"/>
  <c r="W78" i="22"/>
  <c r="AG89" i="22"/>
  <c r="AH89" i="22" s="1"/>
  <c r="AC89" i="22"/>
  <c r="AK89" i="22" s="1"/>
  <c r="AB89" i="22"/>
  <c r="AJ89" i="22" s="1"/>
  <c r="AK91" i="22"/>
  <c r="S93" i="22"/>
  <c r="S92" i="22"/>
  <c r="AH26" i="22"/>
  <c r="AE49" i="22"/>
  <c r="AH49" i="22" s="1"/>
  <c r="W56" i="22"/>
  <c r="Z56" i="22" s="1"/>
  <c r="I64" i="22"/>
  <c r="AH68" i="22"/>
  <c r="AF82" i="22"/>
  <c r="AC83" i="22"/>
  <c r="X89" i="22"/>
  <c r="AD94" i="22"/>
  <c r="U92" i="22"/>
  <c r="W15" i="22"/>
  <c r="Z15" i="22" s="1"/>
  <c r="W24" i="22"/>
  <c r="Z24" i="22" s="1"/>
  <c r="F50" i="22"/>
  <c r="W52" i="22"/>
  <c r="Z52" i="22" s="1"/>
  <c r="F61" i="22"/>
  <c r="F64" i="22"/>
  <c r="F65" i="22"/>
  <c r="W77" i="22"/>
  <c r="W83" i="22"/>
  <c r="AH88" i="22"/>
  <c r="AF88" i="22"/>
  <c r="W7" i="22"/>
  <c r="F16" i="22"/>
  <c r="AE16" i="22"/>
  <c r="AB17" i="22"/>
  <c r="AJ17" i="22" s="1"/>
  <c r="F25" i="22"/>
  <c r="AF25" i="22"/>
  <c r="AC44" i="22"/>
  <c r="AK44" i="22" s="1"/>
  <c r="F45" i="22"/>
  <c r="AC52" i="22"/>
  <c r="AK52" i="22" s="1"/>
  <c r="Y57" i="22"/>
  <c r="AK57" i="22" s="1"/>
  <c r="F63" i="22"/>
  <c r="AF70" i="22"/>
  <c r="AH70" i="22" s="1"/>
  <c r="AE70" i="22"/>
  <c r="F79" i="22"/>
  <c r="I86" i="22"/>
  <c r="F86" i="22"/>
  <c r="X7" i="22"/>
  <c r="AF16" i="22"/>
  <c r="W17" i="22"/>
  <c r="X19" i="22"/>
  <c r="W26" i="22"/>
  <c r="W44" i="22"/>
  <c r="W49" i="22"/>
  <c r="F54" i="22"/>
  <c r="AG57" i="22"/>
  <c r="AC57" i="22"/>
  <c r="I63" i="22"/>
  <c r="Y70" i="22"/>
  <c r="W70" i="22"/>
  <c r="I79" i="22"/>
  <c r="W82" i="22"/>
  <c r="Z82" i="22" s="1"/>
  <c r="AG88" i="22"/>
  <c r="AC88" i="22"/>
  <c r="AH91" i="22"/>
  <c r="W8" i="22"/>
  <c r="Z8" i="22" s="1"/>
  <c r="X17" i="22"/>
  <c r="X26" i="22"/>
  <c r="AH38" i="22"/>
  <c r="AG42" i="22"/>
  <c r="AH42" i="22" s="1"/>
  <c r="X44" i="22"/>
  <c r="AC46" i="22"/>
  <c r="AE47" i="22"/>
  <c r="AF47" i="22"/>
  <c r="X49" i="22"/>
  <c r="F55" i="22"/>
  <c r="W57" i="22"/>
  <c r="AK64" i="22"/>
  <c r="W67" i="22"/>
  <c r="W69" i="22"/>
  <c r="Z69" i="22" s="1"/>
  <c r="AG70" i="22"/>
  <c r="AC70" i="22"/>
  <c r="AE75" i="22"/>
  <c r="AH75" i="22"/>
  <c r="AF75" i="22"/>
  <c r="Y17" i="22"/>
  <c r="W19" i="22"/>
  <c r="Y26" i="22"/>
  <c r="W28" i="22"/>
  <c r="W40" i="22"/>
  <c r="F41" i="22"/>
  <c r="W42" i="22"/>
  <c r="F43" i="22"/>
  <c r="F48" i="22"/>
  <c r="Y49" i="22"/>
  <c r="Z53" i="22"/>
  <c r="Y53" i="22"/>
  <c r="I55" i="22"/>
  <c r="X57" i="22"/>
  <c r="AE59" i="22"/>
  <c r="AH59" i="22"/>
  <c r="AE60" i="22"/>
  <c r="AH60" i="22" s="1"/>
  <c r="AC67" i="22"/>
  <c r="AG67" i="22"/>
  <c r="X70" i="22"/>
  <c r="W75" i="22"/>
  <c r="Y75" i="22"/>
  <c r="AK75" i="22" s="1"/>
  <c r="X75" i="22"/>
  <c r="Z75" i="22" s="1"/>
  <c r="AG83" i="22"/>
  <c r="AH83" i="22" s="1"/>
  <c r="AC36" i="22"/>
  <c r="AK54" i="22"/>
  <c r="W59" i="22"/>
  <c r="Z59" i="22" s="1"/>
  <c r="X67" i="22"/>
  <c r="AC69" i="22"/>
  <c r="Y87" i="22"/>
  <c r="Z87" i="22" s="1"/>
  <c r="AF90" i="22"/>
  <c r="AH90" i="22"/>
  <c r="AE90" i="22"/>
  <c r="W81" i="22"/>
  <c r="Z81" i="22" s="1"/>
  <c r="W79" i="22"/>
  <c r="W71" i="22"/>
  <c r="Z71" i="22" s="1"/>
  <c r="W63" i="22"/>
  <c r="Z63" i="22" s="1"/>
  <c r="W90" i="22"/>
  <c r="W61" i="22"/>
  <c r="Z61" i="22" s="1"/>
  <c r="W85" i="22"/>
  <c r="W76" i="22"/>
  <c r="Z76" i="22" s="1"/>
  <c r="W72" i="22"/>
  <c r="W68" i="22"/>
  <c r="W64" i="22"/>
  <c r="W48" i="22"/>
  <c r="W84" i="22"/>
  <c r="W73" i="22"/>
  <c r="W10" i="22"/>
  <c r="W12" i="22"/>
  <c r="Z12" i="22" s="1"/>
  <c r="Z14" i="22"/>
  <c r="W21" i="22"/>
  <c r="Z21" i="22" s="1"/>
  <c r="W30" i="22"/>
  <c r="Z30" i="22" s="1"/>
  <c r="W38" i="22"/>
  <c r="AB44" i="22"/>
  <c r="X50" i="22"/>
  <c r="W53" i="22"/>
  <c r="AE54" i="22"/>
  <c r="AH54" i="22" s="1"/>
  <c r="AF57" i="22"/>
  <c r="AC59" i="22"/>
  <c r="AC60" i="22"/>
  <c r="AK60" i="22" s="1"/>
  <c r="AB60" i="22"/>
  <c r="AJ60" i="22" s="1"/>
  <c r="AJ62" i="22"/>
  <c r="AF66" i="22"/>
  <c r="AH66" i="22" s="1"/>
  <c r="AE66" i="22"/>
  <c r="Y67" i="22"/>
  <c r="AK67" i="22" s="1"/>
  <c r="F72" i="22"/>
  <c r="AE82" i="22"/>
  <c r="AH82" i="22" s="1"/>
  <c r="AE88" i="22"/>
  <c r="AG87" i="22"/>
  <c r="Y88" i="22"/>
  <c r="AK88" i="22" s="1"/>
  <c r="X88" i="22"/>
  <c r="W88" i="22"/>
  <c r="AG78" i="22"/>
  <c r="AC75" i="22"/>
  <c r="AB75" i="22"/>
  <c r="AG77" i="22"/>
  <c r="AH77" i="22" s="1"/>
  <c r="AF80" i="22"/>
  <c r="AE80" i="22"/>
  <c r="F73" i="22"/>
  <c r="AH76" i="22"/>
  <c r="F77" i="22"/>
  <c r="X80" i="22"/>
  <c r="AF85" i="22"/>
  <c r="AH85" i="22" s="1"/>
  <c r="F59" i="22"/>
  <c r="AC64" i="22"/>
  <c r="AC68" i="22"/>
  <c r="AC78" i="22"/>
  <c r="AC80" i="22"/>
  <c r="Y61" i="22"/>
  <c r="X61" i="22"/>
  <c r="AF67" i="22"/>
  <c r="AH67" i="22" s="1"/>
  <c r="AC72" i="22"/>
  <c r="AB72" i="22"/>
  <c r="AA72" i="22"/>
  <c r="AC76" i="22"/>
  <c r="AK76" i="22" s="1"/>
  <c r="W80" i="22"/>
  <c r="AG85" i="22"/>
  <c r="Y58" i="22"/>
  <c r="W58" i="22"/>
  <c r="AF65" i="22"/>
  <c r="AH65" i="22" s="1"/>
  <c r="Y80" i="22"/>
  <c r="AK80" i="22" s="1"/>
  <c r="AC84" i="22"/>
  <c r="AH86" i="22"/>
  <c r="AK68" i="22"/>
  <c r="AF73" i="22"/>
  <c r="AH73" i="22" s="1"/>
  <c r="AG75" i="22"/>
  <c r="Y86" i="22"/>
  <c r="X86" i="22"/>
  <c r="W86" i="22"/>
  <c r="Z86" i="22" s="1"/>
  <c r="W43" i="22"/>
  <c r="X58" i="22"/>
  <c r="AG65" i="22"/>
  <c r="Y69" i="22"/>
  <c r="AK69" i="22" s="1"/>
  <c r="X69" i="22"/>
  <c r="AF87" i="22"/>
  <c r="AE87" i="22"/>
  <c r="F90" i="22"/>
  <c r="Y84" i="22"/>
  <c r="Z67" i="22" l="1"/>
  <c r="Z9" i="22"/>
  <c r="Z88" i="22"/>
  <c r="AJ79" i="22"/>
  <c r="AI53" i="22"/>
  <c r="AK20" i="22"/>
  <c r="Z66" i="22"/>
  <c r="Z29" i="22"/>
  <c r="Z38" i="22"/>
  <c r="AK74" i="22"/>
  <c r="Z90" i="22"/>
  <c r="AI90" i="22"/>
  <c r="AJ48" i="22"/>
  <c r="AD72" i="22"/>
  <c r="AI72" i="22"/>
  <c r="AH80" i="22"/>
  <c r="AK70" i="22"/>
  <c r="AJ74" i="22"/>
  <c r="AK83" i="22"/>
  <c r="F93" i="22"/>
  <c r="AJ27" i="22"/>
  <c r="Y98" i="22"/>
  <c r="Y95" i="22"/>
  <c r="AJ44" i="22"/>
  <c r="AK84" i="22"/>
  <c r="AJ13" i="22"/>
  <c r="W92" i="22"/>
  <c r="Z7" i="22"/>
  <c r="W93" i="22"/>
  <c r="AH87" i="22"/>
  <c r="AK86" i="22"/>
  <c r="AK58" i="22"/>
  <c r="AB59" i="22"/>
  <c r="AJ59" i="22" s="1"/>
  <c r="Z10" i="22"/>
  <c r="AA15" i="22"/>
  <c r="Z77" i="22"/>
  <c r="AA27" i="22"/>
  <c r="AI40" i="22"/>
  <c r="Z40" i="22"/>
  <c r="AJ83" i="22"/>
  <c r="AJ31" i="22"/>
  <c r="AA25" i="22"/>
  <c r="AD25" i="22" s="1"/>
  <c r="AA43" i="22"/>
  <c r="AD43" i="22" s="1"/>
  <c r="AI43" i="22"/>
  <c r="Z43" i="22"/>
  <c r="AI15" i="22"/>
  <c r="AJ37" i="22"/>
  <c r="AK51" i="22"/>
  <c r="AI18" i="22"/>
  <c r="AA61" i="22"/>
  <c r="AI61" i="22" s="1"/>
  <c r="U98" i="22"/>
  <c r="U95" i="22"/>
  <c r="Z37" i="22"/>
  <c r="AB82" i="22"/>
  <c r="AJ82" i="22" s="1"/>
  <c r="AB79" i="22"/>
  <c r="AB71" i="22"/>
  <c r="AJ71" i="22" s="1"/>
  <c r="AB63" i="22"/>
  <c r="AJ63" i="22" s="1"/>
  <c r="AB90" i="22"/>
  <c r="AJ90" i="22" s="1"/>
  <c r="AB74" i="22"/>
  <c r="AB87" i="22"/>
  <c r="AJ87" i="22" s="1"/>
  <c r="AB86" i="22"/>
  <c r="AJ86" i="22" s="1"/>
  <c r="AB80" i="22"/>
  <c r="AJ80" i="22" s="1"/>
  <c r="AB7" i="22"/>
  <c r="AB81" i="22"/>
  <c r="AJ81" i="22" s="1"/>
  <c r="AB24" i="22"/>
  <c r="AJ24" i="22" s="1"/>
  <c r="AB88" i="22"/>
  <c r="AJ88" i="22" s="1"/>
  <c r="AB68" i="22"/>
  <c r="AB13" i="22"/>
  <c r="AB76" i="22"/>
  <c r="AJ76" i="22" s="1"/>
  <c r="AB56" i="22"/>
  <c r="AB33" i="22"/>
  <c r="AJ33" i="22" s="1"/>
  <c r="AB22" i="22"/>
  <c r="AJ22" i="22" s="1"/>
  <c r="AB29" i="22"/>
  <c r="AJ29" i="22" s="1"/>
  <c r="AB20" i="22"/>
  <c r="AJ20" i="22" s="1"/>
  <c r="AB77" i="22"/>
  <c r="AJ77" i="22" s="1"/>
  <c r="AB39" i="22"/>
  <c r="AJ39" i="22" s="1"/>
  <c r="AB48" i="22"/>
  <c r="AB16" i="22"/>
  <c r="AJ16" i="22" s="1"/>
  <c r="AB32" i="22"/>
  <c r="AJ32" i="22" s="1"/>
  <c r="AB61" i="22"/>
  <c r="AJ61" i="22" s="1"/>
  <c r="AB12" i="22"/>
  <c r="AJ12" i="22" s="1"/>
  <c r="AB8" i="22"/>
  <c r="AB42" i="22"/>
  <c r="AJ42" i="22" s="1"/>
  <c r="AB26" i="22"/>
  <c r="AB21" i="22"/>
  <c r="AJ21" i="22" s="1"/>
  <c r="AB40" i="22"/>
  <c r="AJ40" i="22" s="1"/>
  <c r="AB9" i="22"/>
  <c r="AJ9" i="22" s="1"/>
  <c r="AB19" i="22"/>
  <c r="AJ19" i="22" s="1"/>
  <c r="AB58" i="22"/>
  <c r="AB47" i="22"/>
  <c r="AJ47" i="22" s="1"/>
  <c r="AB65" i="22"/>
  <c r="AJ65" i="22" s="1"/>
  <c r="AB30" i="22"/>
  <c r="AJ30" i="22" s="1"/>
  <c r="AB38" i="22"/>
  <c r="AJ38" i="22" s="1"/>
  <c r="AB66" i="22"/>
  <c r="AJ66" i="22" s="1"/>
  <c r="AB10" i="22"/>
  <c r="AJ10" i="22" s="1"/>
  <c r="AB36" i="22"/>
  <c r="AJ36" i="22" s="1"/>
  <c r="AB28" i="22"/>
  <c r="AJ28" i="22" s="1"/>
  <c r="AB84" i="22"/>
  <c r="AJ84" i="22" s="1"/>
  <c r="AB34" i="22"/>
  <c r="AJ34" i="22" s="1"/>
  <c r="AA85" i="22"/>
  <c r="AB27" i="22"/>
  <c r="AK33" i="22"/>
  <c r="Z23" i="22"/>
  <c r="AA80" i="22"/>
  <c r="AD80" i="22" s="1"/>
  <c r="AB85" i="22"/>
  <c r="AJ85" i="22" s="1"/>
  <c r="AB78" i="22"/>
  <c r="AJ78" i="22" s="1"/>
  <c r="AH57" i="22"/>
  <c r="AA52" i="22"/>
  <c r="AI52" i="22" s="1"/>
  <c r="AA67" i="22"/>
  <c r="AA88" i="22"/>
  <c r="AA49" i="22"/>
  <c r="Z83" i="22"/>
  <c r="Z78" i="22"/>
  <c r="AA41" i="22"/>
  <c r="AI7" i="22"/>
  <c r="AB14" i="22"/>
  <c r="AJ14" i="22" s="1"/>
  <c r="AK16" i="22"/>
  <c r="D337" i="21"/>
  <c r="AA82" i="22"/>
  <c r="AA79" i="22"/>
  <c r="AD79" i="22" s="1"/>
  <c r="AA71" i="22"/>
  <c r="AA63" i="22"/>
  <c r="AA78" i="22"/>
  <c r="AI78" i="22" s="1"/>
  <c r="AA76" i="22"/>
  <c r="AA58" i="22"/>
  <c r="AA26" i="22"/>
  <c r="AA17" i="22"/>
  <c r="AA7" i="22"/>
  <c r="AA81" i="22"/>
  <c r="AA24" i="22"/>
  <c r="AD24" i="22" s="1"/>
  <c r="AA68" i="22"/>
  <c r="AD68" i="22" s="1"/>
  <c r="AA13" i="22"/>
  <c r="AD13" i="22" s="1"/>
  <c r="AA35" i="22"/>
  <c r="AD35" i="22" s="1"/>
  <c r="AA22" i="22"/>
  <c r="AD22" i="22" s="1"/>
  <c r="AA29" i="22"/>
  <c r="AD29" i="22" s="1"/>
  <c r="AA20" i="22"/>
  <c r="AA51" i="22"/>
  <c r="AD51" i="22" s="1"/>
  <c r="AA39" i="22"/>
  <c r="AA48" i="22"/>
  <c r="AA74" i="22"/>
  <c r="AI74" i="22" s="1"/>
  <c r="AA90" i="22"/>
  <c r="AA66" i="22"/>
  <c r="AA62" i="22"/>
  <c r="AD62" i="22" s="1"/>
  <c r="AA10" i="22"/>
  <c r="AA47" i="22"/>
  <c r="AA12" i="22"/>
  <c r="AA8" i="22"/>
  <c r="AA42" i="22"/>
  <c r="AD42" i="22" s="1"/>
  <c r="AA50" i="22"/>
  <c r="AA16" i="22"/>
  <c r="AD16" i="22" s="1"/>
  <c r="AA23" i="22"/>
  <c r="AA11" i="22"/>
  <c r="AA34" i="22"/>
  <c r="AA21" i="22"/>
  <c r="AD21" i="22" s="1"/>
  <c r="AA9" i="22"/>
  <c r="AA36" i="22"/>
  <c r="AA28" i="22"/>
  <c r="AA32" i="22"/>
  <c r="AA30" i="22"/>
  <c r="AA38" i="22"/>
  <c r="AA40" i="22"/>
  <c r="AD40" i="22" s="1"/>
  <c r="AA87" i="22"/>
  <c r="AA86" i="22"/>
  <c r="AA59" i="22"/>
  <c r="AI59" i="22" s="1"/>
  <c r="AA19" i="22"/>
  <c r="AD19" i="22" s="1"/>
  <c r="Z79" i="22"/>
  <c r="AA84" i="22"/>
  <c r="AD84" i="22" s="1"/>
  <c r="Z19" i="22"/>
  <c r="AA54" i="22"/>
  <c r="AA53" i="22"/>
  <c r="O95" i="22"/>
  <c r="O98" i="22" s="1"/>
  <c r="AJ72" i="22"/>
  <c r="AK18" i="21"/>
  <c r="AB57" i="22"/>
  <c r="AJ57" i="22" s="1"/>
  <c r="AB46" i="22"/>
  <c r="AJ46" i="22" s="1"/>
  <c r="AB23" i="22"/>
  <c r="AJ23" i="22" s="1"/>
  <c r="Z48" i="22"/>
  <c r="AA44" i="22"/>
  <c r="AD44" i="22" s="1"/>
  <c r="AK49" i="22"/>
  <c r="AA57" i="22"/>
  <c r="AI57" i="22" s="1"/>
  <c r="AA83" i="22"/>
  <c r="Q95" i="22"/>
  <c r="AI62" i="22"/>
  <c r="AA45" i="22"/>
  <c r="AB18" i="22"/>
  <c r="AD18" i="22" s="1"/>
  <c r="AK10" i="21"/>
  <c r="F92" i="22"/>
  <c r="O102" i="22" s="1"/>
  <c r="AJ58" i="22"/>
  <c r="AA60" i="22"/>
  <c r="AK26" i="22"/>
  <c r="Z58" i="22"/>
  <c r="AI58" i="22"/>
  <c r="Z80" i="22"/>
  <c r="Z64" i="22"/>
  <c r="AB67" i="22"/>
  <c r="AJ67" i="22" s="1"/>
  <c r="AB83" i="22"/>
  <c r="AB73" i="22"/>
  <c r="AJ73" i="22" s="1"/>
  <c r="AB11" i="22"/>
  <c r="AJ11" i="22" s="1"/>
  <c r="Z55" i="22"/>
  <c r="AI35" i="22"/>
  <c r="AB50" i="22"/>
  <c r="AJ50" i="22" s="1"/>
  <c r="AA56" i="22"/>
  <c r="AD56" i="22" s="1"/>
  <c r="AI28" i="22"/>
  <c r="Z28" i="22"/>
  <c r="AJ68" i="22"/>
  <c r="AA77" i="22"/>
  <c r="AK16" i="21"/>
  <c r="AK13" i="21"/>
  <c r="AK20" i="21"/>
  <c r="AK8" i="21"/>
  <c r="AI63" i="22"/>
  <c r="AB69" i="22"/>
  <c r="AJ69" i="22" s="1"/>
  <c r="AJ26" i="22"/>
  <c r="AB70" i="22"/>
  <c r="AJ70" i="22" s="1"/>
  <c r="Z68" i="22"/>
  <c r="S98" i="22"/>
  <c r="S95" i="22"/>
  <c r="Z46" i="22"/>
  <c r="AA73" i="22"/>
  <c r="Q25" i="21"/>
  <c r="AJ8" i="22"/>
  <c r="AK29" i="22"/>
  <c r="AA69" i="22"/>
  <c r="AD69" i="22" s="1"/>
  <c r="AA33" i="22"/>
  <c r="AD33" i="22" s="1"/>
  <c r="Z57" i="22"/>
  <c r="AA64" i="22"/>
  <c r="AB52" i="22"/>
  <c r="AJ52" i="22" s="1"/>
  <c r="Z72" i="22"/>
  <c r="AB15" i="22"/>
  <c r="AJ15" i="22" s="1"/>
  <c r="Z44" i="22"/>
  <c r="AI49" i="22"/>
  <c r="AJ75" i="22"/>
  <c r="AK46" i="22"/>
  <c r="M102" i="22"/>
  <c r="M95" i="22"/>
  <c r="AA55" i="22"/>
  <c r="Z22" i="22"/>
  <c r="AA89" i="22"/>
  <c r="AD89" i="22" s="1"/>
  <c r="AJ56" i="22"/>
  <c r="AB54" i="22"/>
  <c r="AJ54" i="22" s="1"/>
  <c r="AI73" i="22"/>
  <c r="Z73" i="22"/>
  <c r="AA65" i="22"/>
  <c r="AA75" i="22"/>
  <c r="AD75" i="22" s="1"/>
  <c r="AB64" i="22"/>
  <c r="AJ64" i="22" s="1"/>
  <c r="Z70" i="22"/>
  <c r="AI89" i="22"/>
  <c r="AI68" i="22"/>
  <c r="AA31" i="22"/>
  <c r="AB55" i="22"/>
  <c r="AJ55" i="22" s="1"/>
  <c r="AI66" i="22"/>
  <c r="AA14" i="22"/>
  <c r="AI27" i="22"/>
  <c r="AI48" i="22"/>
  <c r="AB45" i="22"/>
  <c r="AJ45" i="22" s="1"/>
  <c r="AI10" i="22"/>
  <c r="Y93" i="22"/>
  <c r="AI24" i="22"/>
  <c r="X92" i="22"/>
  <c r="X93" i="22"/>
  <c r="AB49" i="22"/>
  <c r="AJ49" i="22" s="1"/>
  <c r="AI85" i="22"/>
  <c r="Z85" i="22"/>
  <c r="Z42" i="22"/>
  <c r="AA70" i="22"/>
  <c r="AI70" i="22" s="1"/>
  <c r="AA46" i="22"/>
  <c r="AI46" i="22" s="1"/>
  <c r="AB31" i="22"/>
  <c r="AK19" i="21"/>
  <c r="O21" i="21" s="1"/>
  <c r="Z18" i="22"/>
  <c r="AB25" i="22"/>
  <c r="AJ25" i="22" s="1"/>
  <c r="K95" i="22"/>
  <c r="K98" i="22"/>
  <c r="AC82" i="22"/>
  <c r="AK82" i="22" s="1"/>
  <c r="AC79" i="22"/>
  <c r="AK79" i="22" s="1"/>
  <c r="AC71" i="22"/>
  <c r="AK71" i="22" s="1"/>
  <c r="AC63" i="22"/>
  <c r="AK63" i="22" s="1"/>
  <c r="AC90" i="22"/>
  <c r="AK90" i="22" s="1"/>
  <c r="AC74" i="22"/>
  <c r="AC65" i="22"/>
  <c r="AK65" i="22" s="1"/>
  <c r="AC85" i="22"/>
  <c r="AK85" i="22" s="1"/>
  <c r="AC81" i="22"/>
  <c r="AK81" i="22" s="1"/>
  <c r="AC24" i="22"/>
  <c r="AK24" i="22" s="1"/>
  <c r="AC13" i="22"/>
  <c r="AK13" i="22" s="1"/>
  <c r="AC56" i="22"/>
  <c r="AK56" i="22" s="1"/>
  <c r="AC33" i="22"/>
  <c r="AC22" i="22"/>
  <c r="AK22" i="22" s="1"/>
  <c r="AC35" i="22"/>
  <c r="AK35" i="22" s="1"/>
  <c r="AC29" i="22"/>
  <c r="AC20" i="22"/>
  <c r="AC77" i="22"/>
  <c r="AK77" i="22" s="1"/>
  <c r="AC39" i="22"/>
  <c r="AK39" i="22" s="1"/>
  <c r="AC73" i="22"/>
  <c r="AK73" i="22" s="1"/>
  <c r="AC48" i="22"/>
  <c r="AK48" i="22" s="1"/>
  <c r="AC16" i="22"/>
  <c r="AC42" i="22"/>
  <c r="AK42" i="22" s="1"/>
  <c r="AC50" i="22"/>
  <c r="AK50" i="22" s="1"/>
  <c r="AC49" i="22"/>
  <c r="AC19" i="22"/>
  <c r="AK19" i="22" s="1"/>
  <c r="AC23" i="22"/>
  <c r="AK23" i="22" s="1"/>
  <c r="AC40" i="22"/>
  <c r="AK40" i="22" s="1"/>
  <c r="AC11" i="22"/>
  <c r="AK11" i="22" s="1"/>
  <c r="AC9" i="22"/>
  <c r="AK9" i="22" s="1"/>
  <c r="AC34" i="22"/>
  <c r="AK34" i="22" s="1"/>
  <c r="AC87" i="22"/>
  <c r="AK87" i="22" s="1"/>
  <c r="AC86" i="22"/>
  <c r="AC28" i="22"/>
  <c r="AK28" i="22" s="1"/>
  <c r="AC17" i="22"/>
  <c r="AK17" i="22" s="1"/>
  <c r="AC7" i="22"/>
  <c r="AC32" i="22"/>
  <c r="AK32" i="22" s="1"/>
  <c r="AC30" i="22"/>
  <c r="AK30" i="22" s="1"/>
  <c r="AC26" i="22"/>
  <c r="AC38" i="22"/>
  <c r="AK38" i="22" s="1"/>
  <c r="AC66" i="22"/>
  <c r="AK66" i="22" s="1"/>
  <c r="AC61" i="22"/>
  <c r="AK61" i="22" s="1"/>
  <c r="AC8" i="22"/>
  <c r="AK8" i="22" s="1"/>
  <c r="AC58" i="22"/>
  <c r="AC53" i="22"/>
  <c r="AK53" i="22" s="1"/>
  <c r="AK9" i="21"/>
  <c r="M21" i="21" s="1"/>
  <c r="AD82" i="22" l="1"/>
  <c r="AI82" i="22"/>
  <c r="AI44" i="22"/>
  <c r="AI11" i="22"/>
  <c r="AD11" i="22"/>
  <c r="AI22" i="22"/>
  <c r="AD86" i="22"/>
  <c r="AI86" i="22"/>
  <c r="AD8" i="22"/>
  <c r="AI8" i="22"/>
  <c r="AI93" i="22"/>
  <c r="AB93" i="22"/>
  <c r="AB92" i="22"/>
  <c r="K102" i="22"/>
  <c r="AD87" i="22"/>
  <c r="AI87" i="22"/>
  <c r="AD45" i="22"/>
  <c r="AI45" i="22"/>
  <c r="AD47" i="22"/>
  <c r="AI47" i="22"/>
  <c r="AD81" i="22"/>
  <c r="AI25" i="22"/>
  <c r="AD27" i="22"/>
  <c r="M96" i="22"/>
  <c r="M99" i="22" s="1"/>
  <c r="M97" i="22"/>
  <c r="M100" i="22" s="1"/>
  <c r="AI79" i="22"/>
  <c r="AI60" i="22"/>
  <c r="AD60" i="22"/>
  <c r="P25" i="21"/>
  <c r="N25" i="21"/>
  <c r="W95" i="22"/>
  <c r="W102" i="22"/>
  <c r="AJ18" i="22"/>
  <c r="AD65" i="22"/>
  <c r="AI65" i="22"/>
  <c r="AI21" i="22"/>
  <c r="AD38" i="22"/>
  <c r="AD10" i="22"/>
  <c r="AA92" i="22"/>
  <c r="AA93" i="22"/>
  <c r="AD7" i="22"/>
  <c r="AI51" i="22"/>
  <c r="AI31" i="22"/>
  <c r="AD31" i="22"/>
  <c r="AI20" i="22"/>
  <c r="AD20" i="22"/>
  <c r="AD61" i="22"/>
  <c r="K96" i="22"/>
  <c r="K99" i="22" s="1"/>
  <c r="K97" i="22"/>
  <c r="K100" i="22" s="1"/>
  <c r="AD73" i="22"/>
  <c r="AD30" i="22"/>
  <c r="AD17" i="22"/>
  <c r="AD85" i="22"/>
  <c r="F98" i="22"/>
  <c r="AD77" i="22"/>
  <c r="AI77" i="22"/>
  <c r="Q97" i="22"/>
  <c r="Q100" i="22" s="1"/>
  <c r="Q96" i="22"/>
  <c r="Q99" i="22" s="1"/>
  <c r="O97" i="22"/>
  <c r="O100" i="22" s="1"/>
  <c r="O96" i="22"/>
  <c r="O99" i="22" s="1"/>
  <c r="AD32" i="22"/>
  <c r="AI32" i="22"/>
  <c r="AD66" i="22"/>
  <c r="AD26" i="22"/>
  <c r="AD49" i="22"/>
  <c r="AI38" i="22"/>
  <c r="AC93" i="22"/>
  <c r="AC92" i="22"/>
  <c r="AK7" i="22"/>
  <c r="M98" i="22"/>
  <c r="F95" i="22"/>
  <c r="AI12" i="22"/>
  <c r="AD12" i="22"/>
  <c r="AD46" i="22"/>
  <c r="AI56" i="22"/>
  <c r="AI64" i="22"/>
  <c r="AD64" i="22"/>
  <c r="AI69" i="22"/>
  <c r="Q98" i="22"/>
  <c r="AD53" i="22"/>
  <c r="AD28" i="22"/>
  <c r="AD90" i="22"/>
  <c r="AD58" i="22"/>
  <c r="AI88" i="22"/>
  <c r="AD88" i="22"/>
  <c r="AI17" i="22"/>
  <c r="AI16" i="22"/>
  <c r="N27" i="21"/>
  <c r="N28" i="21" s="1"/>
  <c r="N30" i="21"/>
  <c r="N23" i="21"/>
  <c r="K21" i="21"/>
  <c r="L25" i="21" s="1"/>
  <c r="N26" i="21"/>
  <c r="N22" i="21"/>
  <c r="N24" i="21" s="1"/>
  <c r="AD41" i="22"/>
  <c r="AI41" i="22"/>
  <c r="P27" i="21"/>
  <c r="P30" i="21"/>
  <c r="P26" i="21"/>
  <c r="P23" i="21"/>
  <c r="P22" i="21"/>
  <c r="P24" i="21" s="1"/>
  <c r="AD70" i="22"/>
  <c r="AI14" i="22"/>
  <c r="AD14" i="22"/>
  <c r="S96" i="22"/>
  <c r="S99" i="22" s="1"/>
  <c r="S97" i="22"/>
  <c r="S100" i="22" s="1"/>
  <c r="AI80" i="22"/>
  <c r="Q102" i="22"/>
  <c r="AI36" i="22"/>
  <c r="AD36" i="22"/>
  <c r="AD74" i="22"/>
  <c r="AD76" i="22"/>
  <c r="AI76" i="22"/>
  <c r="AD67" i="22"/>
  <c r="AI67" i="22"/>
  <c r="AI30" i="22"/>
  <c r="AI26" i="22"/>
  <c r="AI29" i="22"/>
  <c r="F346" i="21"/>
  <c r="D336" i="21"/>
  <c r="D335" i="21" s="1"/>
  <c r="D347" i="21" s="1"/>
  <c r="AD59" i="22"/>
  <c r="AI81" i="22"/>
  <c r="AI33" i="22"/>
  <c r="AD83" i="22"/>
  <c r="AI83" i="22"/>
  <c r="AI54" i="22"/>
  <c r="AD54" i="22"/>
  <c r="AI9" i="22"/>
  <c r="AD9" i="22"/>
  <c r="AD48" i="22"/>
  <c r="AD78" i="22"/>
  <c r="AD52" i="22"/>
  <c r="AD15" i="22"/>
  <c r="AJ7" i="22"/>
  <c r="AD23" i="22"/>
  <c r="AI23" i="22"/>
  <c r="AI42" i="22"/>
  <c r="S102" i="22"/>
  <c r="AD57" i="22"/>
  <c r="AI19" i="22"/>
  <c r="AD39" i="22"/>
  <c r="AI39" i="22"/>
  <c r="AD63" i="22"/>
  <c r="AI84" i="22"/>
  <c r="U96" i="22"/>
  <c r="U97" i="22"/>
  <c r="Y97" i="22"/>
  <c r="Y100" i="22" s="1"/>
  <c r="Y96" i="22"/>
  <c r="Y99" i="22" s="1"/>
  <c r="AI75" i="22"/>
  <c r="X95" i="22"/>
  <c r="X102" i="22"/>
  <c r="AD50" i="22"/>
  <c r="AI50" i="22"/>
  <c r="Q28" i="21"/>
  <c r="AI13" i="22"/>
  <c r="AD55" i="22"/>
  <c r="AI55" i="22"/>
  <c r="AD34" i="22"/>
  <c r="AI34" i="22"/>
  <c r="AD71" i="22"/>
  <c r="AI71" i="22"/>
  <c r="U102" i="22"/>
  <c r="Y102" i="22"/>
  <c r="F96" i="22" l="1"/>
  <c r="F97" i="22"/>
  <c r="W96" i="22"/>
  <c r="W99" i="22" s="1"/>
  <c r="W97" i="22"/>
  <c r="W100" i="22" s="1"/>
  <c r="AJ93" i="22"/>
  <c r="AJ92" i="22"/>
  <c r="U99" i="22"/>
  <c r="W98" i="22"/>
  <c r="P28" i="21"/>
  <c r="Q16" i="21"/>
  <c r="U100" i="22"/>
  <c r="AK93" i="22"/>
  <c r="AK92" i="22"/>
  <c r="F103" i="22"/>
  <c r="F104" i="22"/>
  <c r="D346" i="21"/>
  <c r="N29" i="21"/>
  <c r="P29" i="21"/>
  <c r="L29" i="21"/>
  <c r="AC95" i="22"/>
  <c r="AC102" i="22"/>
  <c r="AC98" i="22"/>
  <c r="AD93" i="22"/>
  <c r="AA102" i="22"/>
  <c r="AA95" i="22"/>
  <c r="AA98" i="22" s="1"/>
  <c r="AD98" i="22" s="1"/>
  <c r="AD92" i="22"/>
  <c r="AI92" i="22"/>
  <c r="L27" i="21"/>
  <c r="L30" i="21"/>
  <c r="L23" i="21"/>
  <c r="L26" i="21"/>
  <c r="AB102" i="22"/>
  <c r="AD102" i="22" s="1"/>
  <c r="AB95" i="22"/>
  <c r="AB98" i="22" s="1"/>
  <c r="X97" i="22"/>
  <c r="X100" i="22" s="1"/>
  <c r="X96" i="22"/>
  <c r="X99" i="22" s="1"/>
  <c r="X98" i="22"/>
  <c r="Q32" i="21" l="1"/>
  <c r="N16" i="21"/>
  <c r="N32" i="21" s="1"/>
  <c r="P16" i="21"/>
  <c r="P32" i="21" s="1"/>
  <c r="L16" i="21"/>
  <c r="L32" i="21" s="1"/>
  <c r="L24" i="21"/>
  <c r="AC96" i="22"/>
  <c r="AC99" i="22" s="1"/>
  <c r="AC97" i="22"/>
  <c r="AC100" i="22" s="1"/>
  <c r="AJ95" i="22"/>
  <c r="AJ102" i="22"/>
  <c r="AJ98" i="22"/>
  <c r="Q9" i="21"/>
  <c r="D351" i="21"/>
  <c r="AA97" i="22"/>
  <c r="AA96" i="22"/>
  <c r="AD95" i="22"/>
  <c r="AI95" i="22"/>
  <c r="AI98" i="22" s="1"/>
  <c r="AI102" i="22"/>
  <c r="F100" i="22"/>
  <c r="AB97" i="22"/>
  <c r="AB100" i="22" s="1"/>
  <c r="AB96" i="22"/>
  <c r="AB99" i="22" s="1"/>
  <c r="L28" i="21"/>
  <c r="AK102" i="22"/>
  <c r="AK95" i="22"/>
  <c r="F99" i="22"/>
  <c r="AJ96" i="22" l="1"/>
  <c r="AJ99" i="22" s="1"/>
  <c r="AJ97" i="22"/>
  <c r="AJ100" i="22" s="1"/>
  <c r="AI97" i="22"/>
  <c r="AI96" i="22"/>
  <c r="AD96" i="22"/>
  <c r="AA99" i="22"/>
  <c r="AD99" i="22" s="1"/>
  <c r="AA100" i="22"/>
  <c r="AD100" i="22" s="1"/>
  <c r="AD97" i="22"/>
  <c r="AK97" i="22"/>
  <c r="AK100" i="22" s="1"/>
  <c r="AK96" i="22"/>
  <c r="AK99" i="22" s="1"/>
  <c r="Q12" i="21"/>
  <c r="D350" i="21"/>
  <c r="AK98" i="22"/>
  <c r="Q11" i="21"/>
  <c r="P9" i="21"/>
  <c r="P11" i="21" s="1"/>
  <c r="N9" i="21"/>
  <c r="N11" i="21" s="1"/>
  <c r="L9" i="21"/>
  <c r="L11" i="21" s="1"/>
  <c r="P12" i="21" l="1"/>
  <c r="N12" i="21"/>
  <c r="L12" i="21"/>
  <c r="AI99" i="22"/>
  <c r="AI100" i="22"/>
  <c r="D348" i="21" l="1"/>
  <c r="Q13" i="21" l="1"/>
  <c r="D352" i="21"/>
  <c r="D357" i="21" l="1"/>
  <c r="D356" i="21" s="1"/>
  <c r="D355" i="21"/>
  <c r="P13" i="21"/>
  <c r="P15" i="21" s="1"/>
  <c r="P31" i="21" s="1"/>
  <c r="N13" i="21"/>
  <c r="N15" i="21" s="1"/>
  <c r="N31" i="21" s="1"/>
  <c r="L13" i="21"/>
  <c r="L15" i="21" s="1"/>
  <c r="L31" i="21" s="1"/>
  <c r="Q15" i="21"/>
  <c r="L17" i="21" l="1"/>
  <c r="L33" i="21" s="1"/>
  <c r="Q33" i="21"/>
  <c r="P17" i="21"/>
  <c r="P33" i="21" s="1"/>
  <c r="N17" i="21"/>
  <c r="N33" i="21" s="1"/>
  <c r="Q31" i="21"/>
  <c r="D358" i="21"/>
  <c r="S101" i="22" l="1"/>
  <c r="O101" i="22"/>
  <c r="M101" i="22"/>
  <c r="K101" i="22"/>
  <c r="AK101" i="22"/>
  <c r="AC101" i="22"/>
  <c r="AB101" i="22"/>
  <c r="U101" i="22"/>
  <c r="Q101" i="22"/>
  <c r="AI101" i="22"/>
  <c r="X101" i="22"/>
  <c r="AJ101" i="22"/>
  <c r="AA101" i="22"/>
  <c r="Y101" i="22"/>
  <c r="W101" i="22"/>
  <c r="AD101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 Telk</author>
    <author>Author</author>
  </authors>
  <commentList>
    <comment ref="L9" authorId="0" shapeId="0" xr:uid="{9EB6FB12-29C6-4751-A537-3AAD9400EA3F}">
      <text>
        <r>
          <rPr>
            <sz val="9"/>
            <color indexed="81"/>
            <rFont val="Tahoma"/>
            <family val="2"/>
            <charset val="186"/>
          </rPr>
          <t xml:space="preserve">3.2 tööd proportsiooniga
JuMi tööd 6.2.10.1 ja 6.2.10.2
</t>
        </r>
      </text>
    </comment>
    <comment ref="N9" authorId="0" shapeId="0" xr:uid="{2D5E941A-AFD3-4E85-8678-4C6A694D83E1}">
      <text>
        <r>
          <rPr>
            <sz val="9"/>
            <color indexed="81"/>
            <rFont val="Tahoma"/>
            <family val="2"/>
            <charset val="186"/>
          </rPr>
          <t>3.2 tööd proportsiooniga</t>
        </r>
      </text>
    </comment>
    <comment ref="C22" authorId="0" shapeId="0" xr:uid="{A60AD3E5-6308-4DFD-8C21-FF8EEF0D60DF}">
      <text>
        <r>
          <rPr>
            <sz val="9"/>
            <color indexed="81"/>
            <rFont val="Tahoma"/>
            <family val="2"/>
            <charset val="186"/>
          </rPr>
          <t>va. Töötukassa ja Pärnu Maakohus</t>
        </r>
      </text>
    </comment>
    <comment ref="L22" authorId="0" shapeId="0" xr:uid="{5D001367-C154-48D6-A363-926ED5439D2D}">
      <text>
        <r>
          <rPr>
            <sz val="9"/>
            <color indexed="81"/>
            <rFont val="Tahoma"/>
            <family val="2"/>
            <charset val="186"/>
          </rPr>
          <t>Liidetud 6.1. RaMi lepingusse minevate erinevate proportsioonidega tööd</t>
        </r>
      </text>
    </comment>
    <comment ref="N22" authorId="0" shapeId="0" xr:uid="{94B1AD6E-8077-4518-97B2-08008CE34620}">
      <text>
        <r>
          <rPr>
            <sz val="9"/>
            <color indexed="81"/>
            <rFont val="Tahoma"/>
            <family val="2"/>
            <charset val="186"/>
          </rPr>
          <t>Liidetud 6.2. Töötukassa erinevate proportsioonidega tööd</t>
        </r>
      </text>
    </comment>
    <comment ref="C32" authorId="0" shapeId="0" xr:uid="{284CD10B-D3F0-4B73-8990-BDDD9E32ECDD}">
      <text>
        <r>
          <rPr>
            <sz val="9"/>
            <color indexed="81"/>
            <rFont val="Tahoma"/>
            <family val="2"/>
            <charset val="186"/>
          </rPr>
          <t>20% Töötukassa ja 80 % Pärnu Maakohus</t>
        </r>
      </text>
    </comment>
    <comment ref="C33" authorId="0" shapeId="0" xr:uid="{D43B0EC6-B364-453E-ACEF-6234511BC8D5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34" authorId="0" shapeId="0" xr:uid="{BE02F246-E846-4340-B4DD-1598A37B07EB}">
      <text>
        <r>
          <rPr>
            <sz val="9"/>
            <color indexed="81"/>
            <rFont val="Tahoma"/>
            <family val="2"/>
            <charset val="186"/>
          </rPr>
          <t>30% Töötukassa ja 70 % Pärnu Maakohus</t>
        </r>
      </text>
    </comment>
    <comment ref="C35" authorId="0" shapeId="0" xr:uid="{2EC0D143-1B9F-4207-89DC-9F935527DFA1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36" authorId="0" shapeId="0" xr:uid="{42262E0A-60B6-4CED-8176-A59E04C82AD3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37" authorId="0" shapeId="0" xr:uid="{F88AC208-2F09-40FB-812C-57B34C690A34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38" authorId="0" shapeId="0" xr:uid="{436B9B51-CAE8-4E29-AE38-576C22EAE02E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39" authorId="0" shapeId="0" xr:uid="{A55E003D-C2F6-42E1-8BB7-6C9F9CEB89EC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40" authorId="0" shapeId="0" xr:uid="{258E2EA7-56EE-4DD1-90F3-0D04D080F580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41" authorId="0" shapeId="0" xr:uid="{32D0748F-F30A-429B-9E36-26A44179B167}">
      <text>
        <r>
          <rPr>
            <sz val="9"/>
            <color indexed="81"/>
            <rFont val="Tahoma"/>
            <family val="2"/>
            <charset val="186"/>
          </rPr>
          <t>50% Töötukassa ja 50 % Pärnu Maakohus</t>
        </r>
      </text>
    </comment>
    <comment ref="C42" authorId="0" shapeId="0" xr:uid="{393A4DB4-513D-450A-AC4C-2A233905608F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43" authorId="0" shapeId="0" xr:uid="{4C328A69-CEF5-4EC6-8DC9-A733CD1C68BC}">
      <text>
        <r>
          <rPr>
            <sz val="9"/>
            <color indexed="81"/>
            <rFont val="Tahoma"/>
            <family val="2"/>
            <charset val="186"/>
          </rPr>
          <t>50% Töötukassa ja 50 % Pärnu Maakohus</t>
        </r>
      </text>
    </comment>
    <comment ref="C44" authorId="0" shapeId="0" xr:uid="{A0B3C9BA-CDED-4C25-83BF-83164919C9E0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45" authorId="0" shapeId="0" xr:uid="{7C3D6714-5267-4B88-A71A-EEC7E2261E48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46" authorId="0" shapeId="0" xr:uid="{AEADCD41-3488-46AA-97A3-C1618CFAFF3E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47" authorId="0" shapeId="0" xr:uid="{B9812C5B-AFFC-4236-B785-6318AFAC771B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48" authorId="0" shapeId="0" xr:uid="{A84F905C-E787-4F43-8204-42F64A16FDFA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49" authorId="0" shapeId="0" xr:uid="{C0E1E756-2118-4FBB-A41B-4CC938C11E69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0" authorId="0" shapeId="0" xr:uid="{43198CCE-B45F-46E5-B6C1-38AA9BE1CEE7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1" authorId="0" shapeId="0" xr:uid="{EDE1A556-5DC4-4021-A4D7-F32B1E752CA8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2" authorId="0" shapeId="0" xr:uid="{EB7E744A-5922-489A-822F-24A37D76FFAE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3" authorId="0" shapeId="0" xr:uid="{75C53CFB-63AC-4933-ADBB-FD7141FC224E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4" authorId="0" shapeId="0" xr:uid="{E6E12D5D-CD50-408D-9466-AA6D73ECE2D7}">
      <text>
        <r>
          <rPr>
            <sz val="9"/>
            <color indexed="81"/>
            <rFont val="Tahoma"/>
            <family val="2"/>
            <charset val="186"/>
          </rPr>
          <t>50% Töötukassa ja 50 % Pärnu Maakohus</t>
        </r>
      </text>
    </comment>
    <comment ref="C55" authorId="0" shapeId="0" xr:uid="{3CF533A0-83D2-407F-8238-7A847D279EA1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6" authorId="0" shapeId="0" xr:uid="{8E32A938-A36F-4FDA-8F9F-DDD33B0B58BC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57" authorId="0" shapeId="0" xr:uid="{ED7DF8C1-197D-40D1-AA99-37E9E1618C7F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58" authorId="0" shapeId="0" xr:uid="{EB53C8FB-8F3C-4867-A7DA-E920A2E1C091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59" authorId="0" shapeId="0" xr:uid="{9A2DEE29-8463-421E-8C88-3ABBAA25491F}">
      <text>
        <r>
          <rPr>
            <sz val="9"/>
            <color indexed="81"/>
            <rFont val="Tahoma"/>
            <family val="2"/>
            <charset val="186"/>
          </rPr>
          <t>50% Töötukassa ja 50 % Pärnu Maakohus</t>
        </r>
      </text>
    </comment>
    <comment ref="C60" authorId="0" shapeId="0" xr:uid="{D8ED3813-990E-4BE6-B4DF-5E23264B44CC}">
      <text>
        <r>
          <rPr>
            <sz val="9"/>
            <color indexed="81"/>
            <rFont val="Tahoma"/>
            <family val="2"/>
            <charset val="186"/>
          </rPr>
          <t>50% Töötukassa ja 50 % Pärnu Maakohus</t>
        </r>
      </text>
    </comment>
    <comment ref="C61" authorId="0" shapeId="0" xr:uid="{FC59E72A-1B4B-4CFA-BF8C-FFB9535396C0}">
      <text>
        <r>
          <rPr>
            <sz val="9"/>
            <color indexed="81"/>
            <rFont val="Tahoma"/>
            <family val="2"/>
            <charset val="186"/>
          </rPr>
          <t>50% Töötukassa ja 50 % Pärnu Maakohus</t>
        </r>
      </text>
    </comment>
    <comment ref="C62" authorId="0" shapeId="0" xr:uid="{B1B348A2-5B2A-4734-BB93-8025B166A977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63" authorId="0" shapeId="0" xr:uid="{469FBBBC-9003-418F-B2EF-2CA184C321BF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64" authorId="0" shapeId="0" xr:uid="{DB9BEE8F-D85B-42D9-AC4F-A1769F81EEB6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C65" authorId="0" shapeId="0" xr:uid="{58905B8A-0105-4BCD-AA71-CED3FB9BDA6D}">
      <text>
        <r>
          <rPr>
            <sz val="9"/>
            <color indexed="81"/>
            <rFont val="Tahoma"/>
            <family val="2"/>
            <charset val="186"/>
          </rPr>
          <t>Rüütli 25 eksplikatsiooni alusel</t>
        </r>
      </text>
    </comment>
    <comment ref="D108" authorId="0" shapeId="0" xr:uid="{81875C71-0B2F-4928-ACF4-36992B8481E5}">
      <text>
        <r>
          <rPr>
            <sz val="9"/>
            <color indexed="81"/>
            <rFont val="Tahoma"/>
            <family val="2"/>
            <charset val="186"/>
          </rPr>
          <t>103000 EUR PPA parkla ehitus maha arvestatud</t>
        </r>
      </text>
    </comment>
    <comment ref="C332" authorId="0" shapeId="0" xr:uid="{03D89B2C-1DE5-4427-B2F9-959CCA99E22B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333" authorId="0" shapeId="0" xr:uid="{0F1EC243-E726-4EB1-ADF0-F196146F1406}">
      <text>
        <r>
          <rPr>
            <sz val="9"/>
            <color indexed="81"/>
            <rFont val="Tahoma"/>
            <family val="2"/>
            <charset val="186"/>
          </rPr>
          <t>100% Pärnu Maakohus</t>
        </r>
      </text>
    </comment>
    <comment ref="C334" authorId="0" shapeId="0" xr:uid="{D8A81349-D4D3-421B-A4F4-CA4F24950F3B}">
      <text>
        <r>
          <rPr>
            <sz val="9"/>
            <color indexed="81"/>
            <rFont val="Tahoma"/>
            <family val="2"/>
            <charset val="186"/>
          </rPr>
          <t>100% Politsei- ja Piirivalveamet
Lisa nr 6.2 üürilepingule nr KPJ-4/2020-234</t>
        </r>
      </text>
    </comment>
    <comment ref="D346" authorId="1" shapeId="0" xr:uid="{A6CF564C-35B5-4BEE-8BA0-E98D6201DAB0}">
      <text>
        <r>
          <rPr>
            <sz val="9"/>
            <color indexed="81"/>
            <rFont val="Tahoma"/>
            <family val="2"/>
            <charset val="186"/>
          </rPr>
          <t>Ilma sisustuse, Integriti, asenduspindade, JuMi ja parkla töödeta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 Telk</author>
  </authors>
  <commentList>
    <comment ref="Q6" authorId="0" shapeId="0" xr:uid="{5F0AECB8-4977-45A7-B812-AE0A61F24455}">
      <text>
        <r>
          <rPr>
            <sz val="9"/>
            <color indexed="81"/>
            <rFont val="Tahoma"/>
            <family val="2"/>
            <charset val="186"/>
          </rPr>
          <t>Töötukassa 25%
Rahandusministeerium 75%</t>
        </r>
      </text>
    </comment>
  </commentList>
</comments>
</file>

<file path=xl/sharedStrings.xml><?xml version="1.0" encoding="utf-8"?>
<sst xmlns="http://schemas.openxmlformats.org/spreadsheetml/2006/main" count="865" uniqueCount="589">
  <si>
    <t>Lisa nr 1</t>
  </si>
  <si>
    <t>Tööde loetelu ja eeldatav maksumus - Paide riigimaja, Tallinna 18</t>
  </si>
  <si>
    <t>Eksplikatsioon - Tallinna 18</t>
  </si>
  <si>
    <t>Eksplikatsioon - Rüütli 25</t>
  </si>
  <si>
    <t>Jrk
nr</t>
  </si>
  <si>
    <t>Töö nimetus</t>
  </si>
  <si>
    <t>Eeldatav maksumus, EUR, km-ta</t>
  </si>
  <si>
    <t>Üürnikuspetsiifiline osa ehitusest</t>
  </si>
  <si>
    <t>Üürnikuspetsiifiline osa sisustusest</t>
  </si>
  <si>
    <r>
      <t xml:space="preserve">PARENDUSTÖÖDE JAGUNEMINE:
</t>
    </r>
    <r>
      <rPr>
        <b/>
        <sz val="11"/>
        <color theme="1"/>
        <rFont val="Calibri"/>
        <family val="2"/>
        <charset val="186"/>
        <scheme val="minor"/>
      </rPr>
      <t>(Tallinna 18)</t>
    </r>
  </si>
  <si>
    <t>RaM osakaal pinnast</t>
  </si>
  <si>
    <t>RaM maksumus</t>
  </si>
  <si>
    <t>TK osakaal pinnast</t>
  </si>
  <si>
    <t>TK maksumus</t>
  </si>
  <si>
    <t>Aktiivne vakantsus osakaal pinnast</t>
  </si>
  <si>
    <t>Aktiivne vakantsus maksumus</t>
  </si>
  <si>
    <t>Üürnik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</si>
  <si>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</si>
  <si>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</si>
  <si>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</si>
  <si>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</si>
  <si>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</si>
  <si>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</si>
  <si>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r>
      <t xml:space="preserve">Kokku 
</t>
    </r>
    <r>
      <rPr>
        <b/>
        <sz val="8"/>
        <color theme="1"/>
        <rFont val="Calibri"/>
        <family val="2"/>
        <charset val="186"/>
        <scheme val="minor"/>
      </rPr>
      <t>(va KeA)</t>
    </r>
  </si>
  <si>
    <r>
      <t xml:space="preserve">Osakaal 
</t>
    </r>
    <r>
      <rPr>
        <b/>
        <sz val="8"/>
        <color theme="1"/>
        <rFont val="Calibri"/>
        <family val="2"/>
        <charset val="186"/>
        <scheme val="minor"/>
      </rPr>
      <t>(va KeA)</t>
    </r>
  </si>
  <si>
    <t>ARENDUSTEGEVUS</t>
  </si>
  <si>
    <t>Rahandusministeerium</t>
  </si>
  <si>
    <t>Keskkonnaamet</t>
  </si>
  <si>
    <t>Kinnisvara omandamise ja väärtustamise kulud</t>
  </si>
  <si>
    <t>Parendustööd</t>
  </si>
  <si>
    <t>Eesti Töötukassa</t>
  </si>
  <si>
    <t>Haldamine</t>
  </si>
  <si>
    <t>x</t>
  </si>
  <si>
    <t>Projektijuhtimine</t>
  </si>
  <si>
    <t>Aktiivne vakantsus</t>
  </si>
  <si>
    <t>Pärnu Maakohus</t>
  </si>
  <si>
    <t>Tellija muud arendusaegsed kulud; va intress</t>
  </si>
  <si>
    <t>Parendustööde + Projektijuhtimise otsene kulu</t>
  </si>
  <si>
    <t>Üüritav pind kokku</t>
  </si>
  <si>
    <t>Muinsuskaitseamet</t>
  </si>
  <si>
    <t xml:space="preserve">Omanikujärelevalve </t>
  </si>
  <si>
    <t>Projektijuhtimise kaudne kulu</t>
  </si>
  <si>
    <t>Passiivne vakantsus</t>
  </si>
  <si>
    <t>Sotsiaalkindlustusamet</t>
  </si>
  <si>
    <t>Lubade taotlemisega seotud kulud</t>
  </si>
  <si>
    <t>Intress</t>
  </si>
  <si>
    <t>Tallinna Vangla</t>
  </si>
  <si>
    <t>Muud kontrorikulud</t>
  </si>
  <si>
    <t>CO2 vahendid</t>
  </si>
  <si>
    <t>Ee-l- ja põhiprojekti ekspertiis</t>
  </si>
  <si>
    <t>Parendustööde algväärtus</t>
  </si>
  <si>
    <t>Maksu- ja Tolliamet</t>
  </si>
  <si>
    <t>Muud konsultatsioonid</t>
  </si>
  <si>
    <t>Üürniku spetsifiline osa parendustöödest</t>
  </si>
  <si>
    <t>Prokuratuur</t>
  </si>
  <si>
    <t>Kulud seoses ehitustööde katkemisega</t>
  </si>
  <si>
    <t>Parendustööde lõppväärtus</t>
  </si>
  <si>
    <t>Tööinspektsioon</t>
  </si>
  <si>
    <t>Juriidiline nõustamine</t>
  </si>
  <si>
    <t>Eesti Rahvakultuuri Keskus</t>
  </si>
  <si>
    <t>Muud tellija ehitusaegsed kulud</t>
  </si>
  <si>
    <t>Liitumised</t>
  </si>
  <si>
    <r>
      <t xml:space="preserve">ASENDUSPINNA PARENDUSTÖÖDE JAGUNEMINE:
</t>
    </r>
    <r>
      <rPr>
        <b/>
        <sz val="11"/>
        <color theme="1"/>
        <rFont val="Calibri"/>
        <family val="2"/>
        <charset val="186"/>
        <scheme val="minor"/>
      </rPr>
      <t>(Rüütli 25)</t>
    </r>
  </si>
  <si>
    <t>3.1.</t>
  </si>
  <si>
    <t>Elektrivõimsuse suurendamine</t>
  </si>
  <si>
    <t>3.2.</t>
  </si>
  <si>
    <t>Riigimaja keskse Integriti serveriga liitmine</t>
  </si>
  <si>
    <t>Projektijuhtimise otsesed kulud</t>
  </si>
  <si>
    <t>Projektijuhtimise meeskonnakulud</t>
  </si>
  <si>
    <t>EHITAMINE</t>
  </si>
  <si>
    <t>Projekteerimine ja uuringud</t>
  </si>
  <si>
    <t>Projekteerimistööd (põhiprojekti koostamine)</t>
  </si>
  <si>
    <t>Asenduspinna mõõdistused</t>
  </si>
  <si>
    <t xml:space="preserve">Muinsuskaitse uuringud </t>
  </si>
  <si>
    <t>Ehituslepingud</t>
  </si>
  <si>
    <t>6.1.</t>
  </si>
  <si>
    <t>Asenduspinna korrastamine Rüütli tn 25</t>
  </si>
  <si>
    <t>Parendustööde algväärtus kokku</t>
  </si>
  <si>
    <t>Rüütli 25 lammutus</t>
  </si>
  <si>
    <t>Üürniku spetsifiline osa parendustöödest kokku</t>
  </si>
  <si>
    <t>Rüütli 25 kandeseina ukseava rajamine</t>
  </si>
  <si>
    <t>Parendustööde lõppväärtus kokku</t>
  </si>
  <si>
    <t>Rüütli 25 uued seinad</t>
  </si>
  <si>
    <t>Rüütli 25 seinte viimistlus</t>
  </si>
  <si>
    <t>Rüütli 25 lagede viimistlus</t>
  </si>
  <si>
    <t>Rüütli 25 ripplaed</t>
  </si>
  <si>
    <t>Rüütli 25 akende katmine päikesekaitse kiledega</t>
  </si>
  <si>
    <t>Rüütli 25 uksed</t>
  </si>
  <si>
    <t>Rüütli 25 lukustus ja sulused</t>
  </si>
  <si>
    <t>Rüütli 25 klaasseina ringi tõstmine (ruum 103)</t>
  </si>
  <si>
    <t>Rüütli 25 põrandate lakkimine, pesemine, parandamine jms</t>
  </si>
  <si>
    <t>Rüütli 25 elektritoide (jahutusele, koos kilbiga)</t>
  </si>
  <si>
    <t>Rüütli 25 elektritoide (uuele ventilatsioonile)</t>
  </si>
  <si>
    <t>Rüütli 25 elektritoide lisanduvatele töökohtadele</t>
  </si>
  <si>
    <t>Rüütli 25 valgustite vahetus</t>
  </si>
  <si>
    <t>Rüütli 25 tugevvoolu mõõdistused, teostusjoonised, abimaterjalid, jms</t>
  </si>
  <si>
    <t>Rüütli 25 andmeside võrk, töökohad, printerikohad jms</t>
  </si>
  <si>
    <t>Rüütli 25 tulekahjusignalisatsiooni tööd</t>
  </si>
  <si>
    <t>Rüütli 25 valvesignalisatsiooni tööd</t>
  </si>
  <si>
    <t>Rüütli 25 läbipääsusüsteemi tööd ja uksekaardid</t>
  </si>
  <si>
    <t>Rüütli 25 videovalve süsteem (sh kaamerad, salvesti, juhtmestik, jms)</t>
  </si>
  <si>
    <t>Rüütli 25 avatavate akende IP andurid</t>
  </si>
  <si>
    <t>Rüütli 25 paanikanupud, seadistamine</t>
  </si>
  <si>
    <t>Rüütli 25 nõrkvoolu muud tööd, sh mõõdistused, teostusjoonised, abimaterjalid, jms</t>
  </si>
  <si>
    <t xml:space="preserve">Rüütli 25 uus ventilatsiooniseade </t>
  </si>
  <si>
    <t>Rüütli 25 ventilatsioonitööd</t>
  </si>
  <si>
    <t>Rüütli 25 venitilatsiooni muud tööd, sh mõõdistused, teostusjoonised, abimaterjalid, jms</t>
  </si>
  <si>
    <t>Rüütli 25 jahutuse seadmed</t>
  </si>
  <si>
    <t>Rüütli 25 jahutus seadmete paigaldus</t>
  </si>
  <si>
    <t>Rüütli 25 jahutuse muud tööd, sh mõõdistused, teostusjoonised, abimaterjalid, jms</t>
  </si>
  <si>
    <t>Rüütli 25 majajuhi kirjade täiendamine</t>
  </si>
  <si>
    <t>Rüütli 25 projektijuhtimine, valve jms</t>
  </si>
  <si>
    <t>Rüütli 25 CAR kindlustus</t>
  </si>
  <si>
    <t>Rüütli 25 muud kulud</t>
  </si>
  <si>
    <t>6.2.</t>
  </si>
  <si>
    <t>EHITUSTÖÖD Tallinna tn 18</t>
  </si>
  <si>
    <t>6.2.1.</t>
  </si>
  <si>
    <t>PROJEKTEERIMINE</t>
  </si>
  <si>
    <t>Projekteerimistööd (tööprojekti koostamine, teostusjoonised, ekspertiis jms)</t>
  </si>
  <si>
    <t>6.2.2.</t>
  </si>
  <si>
    <t xml:space="preserve">VÄLISRAJATISED </t>
  </si>
  <si>
    <t xml:space="preserve">Ettevalmistus ja lammutus </t>
  </si>
  <si>
    <t/>
  </si>
  <si>
    <t>Ettevalmistustööd</t>
  </si>
  <si>
    <t>Geodeetilised tööd koos teostusjoonistega</t>
  </si>
  <si>
    <t>Töömaa raadamine</t>
  </si>
  <si>
    <t>Hoone ja rajatiste kaitse ehitustööde ajal</t>
  </si>
  <si>
    <t>Lammutustööd</t>
  </si>
  <si>
    <t>Muud ettevalmistuse ja lammutusega seotud tooted ja tööd</t>
  </si>
  <si>
    <t xml:space="preserve">Hoonevälised ehitised </t>
  </si>
  <si>
    <t>Panduse raudbetoonsein 180mm</t>
  </si>
  <si>
    <t>Tugimüürid, piirded ja valguskaevud</t>
  </si>
  <si>
    <t>Välistreppide, panduste metallpiirded ja betoonkonstruktsioonid</t>
  </si>
  <si>
    <t>Välistrepid</t>
  </si>
  <si>
    <t>Varikatused</t>
  </si>
  <si>
    <t>Muud hooneväliste ehitistega seotud  tooted ja tööd</t>
  </si>
  <si>
    <t xml:space="preserve">Välisvõrgud </t>
  </si>
  <si>
    <t>Kanalisatsioon</t>
  </si>
  <si>
    <t>Sadeveekanalisatsioon</t>
  </si>
  <si>
    <t>Väliskanalisatsioon</t>
  </si>
  <si>
    <t xml:space="preserve">Reoveepumpla, survetorustik </t>
  </si>
  <si>
    <t>Muud kanalisatsiooniga seotud  tooted ja tööd</t>
  </si>
  <si>
    <t>Välisvalgustus</t>
  </si>
  <si>
    <t>Prožektorvalgustid seinal</t>
  </si>
  <si>
    <t>Platsivalgustid mastidel</t>
  </si>
  <si>
    <t>Lipumasti jt välisvalgustid</t>
  </si>
  <si>
    <t>Muud välisvalgustusega seotud  tooted ja tööd</t>
  </si>
  <si>
    <t>Veetorustik</t>
  </si>
  <si>
    <t>Veetorustikud</t>
  </si>
  <si>
    <t>Muud veetorustikega seotud  tooted ja tööd</t>
  </si>
  <si>
    <t xml:space="preserve">Kaabelliinid </t>
  </si>
  <si>
    <t xml:space="preserve">Tugevvoolu kaabelliinid </t>
  </si>
  <si>
    <t>Elektriautode laadimispunkt</t>
  </si>
  <si>
    <t>Sidekaabelliin</t>
  </si>
  <si>
    <t>Valvekaamerate kaabeldus</t>
  </si>
  <si>
    <t>Muud kaabelliinidega seotud  tooted ja tööd</t>
  </si>
  <si>
    <t xml:space="preserve">Maa-ala pinnakatted </t>
  </si>
  <si>
    <t xml:space="preserve">Haljastus </t>
  </si>
  <si>
    <t>Teed ja platsid</t>
  </si>
  <si>
    <t>Teede ja platside alused</t>
  </si>
  <si>
    <t>Teede ja platside katted</t>
  </si>
  <si>
    <t>Äärekivid ja sadeveerennid</t>
  </si>
  <si>
    <t>Muud teede ja platsidega seotud  tooted ja tööd</t>
  </si>
  <si>
    <t>Väikeehitised maa-alal</t>
  </si>
  <si>
    <t>Hoone juurde kuuluv välisvarustus</t>
  </si>
  <si>
    <t>P-01 Pink seljatoega 1910x600x860mm</t>
  </si>
  <si>
    <t>PK-01 Prügikast h-1000mm l-390mm</t>
  </si>
  <si>
    <t>JR-01 Jalgrattahoidja h-1005mm l-600mm</t>
  </si>
  <si>
    <t>JR-02 Jalgrattahoidja h-1110mm l-470mm</t>
  </si>
  <si>
    <t xml:space="preserve">LM-01 Lipumast koos vundamendiga h-10m </t>
  </si>
  <si>
    <t>Muud väikeehitistega maa-alal seotud  tooted ja tööd</t>
  </si>
  <si>
    <t>Rattakuur</t>
  </si>
  <si>
    <t xml:space="preserve">Rattakuuri postvundament </t>
  </si>
  <si>
    <t>Rattakuuri teraskonstruktsioonid</t>
  </si>
  <si>
    <t>Rattakuuri katusekonstruktsioon</t>
  </si>
  <si>
    <t>Rattakuuri fassaadikonstruktsioon</t>
  </si>
  <si>
    <t>Muud rattakuuriga seotud  tooted ja tööd</t>
  </si>
  <si>
    <t>Jäätmeaedik</t>
  </si>
  <si>
    <t>Jäätmeaediku postvundament</t>
  </si>
  <si>
    <t>Jäätmeaediku teraskonstruktsioonid</t>
  </si>
  <si>
    <t>Jäätmeaediku puitkonstruktsioonid</t>
  </si>
  <si>
    <t>Muud jäätmeaedikuga seotud  tooted ja tööd</t>
  </si>
  <si>
    <t>Välialade inventar</t>
  </si>
  <si>
    <t>Liiklusalade varustus</t>
  </si>
  <si>
    <t>Parkla joonimine</t>
  </si>
  <si>
    <t>Elektriauto parkimiskoha kujutis</t>
  </si>
  <si>
    <t>Invaparkimiskoha kujutis</t>
  </si>
  <si>
    <t>Liikusmärgid</t>
  </si>
  <si>
    <t>Tõkkepuu</t>
  </si>
  <si>
    <t>Muud välialade inventariga seotud  tooted ja tööd</t>
  </si>
  <si>
    <t>6.2.3.</t>
  </si>
  <si>
    <t xml:space="preserve">ALUSED JA VUNDAMENDID </t>
  </si>
  <si>
    <t xml:space="preserve">Rostvärgid ja taldmikud </t>
  </si>
  <si>
    <t>Vundamentide alused</t>
  </si>
  <si>
    <t>Betoontarindid</t>
  </si>
  <si>
    <t>Müüritised</t>
  </si>
  <si>
    <t>Sooja- ja hüdroisolatsiooni tööd</t>
  </si>
  <si>
    <t>Liftišahti raudbetoonplaadi hüdroisolatsioon</t>
  </si>
  <si>
    <t xml:space="preserve">Sokliseinte soojustus </t>
  </si>
  <si>
    <t>Sokliseinte hüdroisolatsioon</t>
  </si>
  <si>
    <t>Olemasolevate paekivist laotud sokliseinte puhastamine ja remontimine, krohvimine</t>
  </si>
  <si>
    <t>Muud rostvärkide ja taldmikega seotud  tooted ja tööd</t>
  </si>
  <si>
    <t xml:space="preserve">Aluspõrandad </t>
  </si>
  <si>
    <t>Aluspõranda alused</t>
  </si>
  <si>
    <t>PP-01 Olemasoleva aluspõranda taastamine vajadusel kommunikatsioonide ja kiviplokist vaheseinte rajamiseks</t>
  </si>
  <si>
    <t>Sooja- ja hüdroisolatsioon</t>
  </si>
  <si>
    <t>Muud aluspõrandatega seotud  tooted ja tööd</t>
  </si>
  <si>
    <t>6.2.4.</t>
  </si>
  <si>
    <t xml:space="preserve">KANDETARINDID </t>
  </si>
  <si>
    <t xml:space="preserve">Kandvad- ja välisseinad </t>
  </si>
  <si>
    <t>Metalltarindid</t>
  </si>
  <si>
    <t>Terassillused</t>
  </si>
  <si>
    <t xml:space="preserve">Välisseinte ladumine </t>
  </si>
  <si>
    <t>Sooja-, heli- ja hüdroisolatsioon</t>
  </si>
  <si>
    <t>Välisavatäidete perimeetri tihendamine</t>
  </si>
  <si>
    <t>Seinte fassaadikatted</t>
  </si>
  <si>
    <t>Sokli krohvisüsteem</t>
  </si>
  <si>
    <t>Olemasolevate sokliseinte korrastamine, puhastamine ja krohvimine</t>
  </si>
  <si>
    <t>Olemasolevate välisseinte korrastamine, puhastamine, krohvimine lubikrohviga ja värvimine lubivärviga</t>
  </si>
  <si>
    <t>Fassaadi krohvisüsteem</t>
  </si>
  <si>
    <t>Olemasoleva katusekarniisi, vahekarniisi ja ehisdetailide korrastamine, puhastamine, krohvimine ja värvimine</t>
  </si>
  <si>
    <t>Fassaadi veeplekkide paigaldus</t>
  </si>
  <si>
    <t>Metallist ventilatsioonirestid</t>
  </si>
  <si>
    <t>Muud kandvate- ja välisseintega seotud  tooted ja tööd</t>
  </si>
  <si>
    <t xml:space="preserve">Vahe- ja katuslaed </t>
  </si>
  <si>
    <t>Monoliitsed katuslae osad</t>
  </si>
  <si>
    <t>Monoliitsed vahelae osad</t>
  </si>
  <si>
    <t>Muud betoontarinditega seotud  tooted ja tööd</t>
  </si>
  <si>
    <t>Puittarindid</t>
  </si>
  <si>
    <t>Olemasolevate puittalade tugevdamine, proteesimine</t>
  </si>
  <si>
    <t>Muud puittarinditega seotud  tooted ja tööd</t>
  </si>
  <si>
    <t xml:space="preserve">Trepielemendid </t>
  </si>
  <si>
    <t>Treppide betoonkonstruktsioonid</t>
  </si>
  <si>
    <t>Muud trepielementidega seotud  tooted ja tööd</t>
  </si>
  <si>
    <t>6.2.5.</t>
  </si>
  <si>
    <t xml:space="preserve">FASSAADIELEMENDID JA KATUSED </t>
  </si>
  <si>
    <t>Klaasfassaadid, vitriinid ja eriaknad</t>
  </si>
  <si>
    <t>Suitsueemaldusluugid, katusaknad</t>
  </si>
  <si>
    <t>Katuseaknad</t>
  </si>
  <si>
    <t xml:space="preserve">Aknad </t>
  </si>
  <si>
    <t xml:space="preserve">Aknalauad koos paigaldusega </t>
  </si>
  <si>
    <t>Alumiiniumaknad</t>
  </si>
  <si>
    <t>Puitaknad</t>
  </si>
  <si>
    <t>Restaureeritavad puitaknad</t>
  </si>
  <si>
    <t>PVC aknad</t>
  </si>
  <si>
    <t>Aknakatted</t>
  </si>
  <si>
    <t>Muud akendega seotud tooted ja tööd</t>
  </si>
  <si>
    <t xml:space="preserve">Välisuksed ja väravad </t>
  </si>
  <si>
    <t>Välisuste lukustus</t>
  </si>
  <si>
    <t>Alumiiniumuksed ja -väravad</t>
  </si>
  <si>
    <t>Puituksed ja -väravad (sh restaureeritavad)</t>
  </si>
  <si>
    <t>Muud välisuste ja -väravatega seotud tooted ja tööd</t>
  </si>
  <si>
    <t>Rõdud ja terrassid</t>
  </si>
  <si>
    <t>Rõdude pinnakatted</t>
  </si>
  <si>
    <t>Rõdude betoontarindid</t>
  </si>
  <si>
    <t>Muud rõdude ja terrassidega seotud tooted ja tööd</t>
  </si>
  <si>
    <t xml:space="preserve">Piirded ja käiguteed </t>
  </si>
  <si>
    <t>Sisetreppide ja rõdude piirded</t>
  </si>
  <si>
    <t>Elementtrepid ja redelid</t>
  </si>
  <si>
    <t>Muud piirete ja käiguteedega seotud tooted ja tööd</t>
  </si>
  <si>
    <t xml:space="preserve">Katusetarindid </t>
  </si>
  <si>
    <t>Katuse betoontasanduskiht</t>
  </si>
  <si>
    <t>Parapeti konstruktsioon</t>
  </si>
  <si>
    <t>Katuse elemendid</t>
  </si>
  <si>
    <t xml:space="preserve">Sadeveelehter elektrilise soojendusega </t>
  </si>
  <si>
    <t>Katuse läbiviigud ja elemendid</t>
  </si>
  <si>
    <t>Katuse puitkonstruktsioon</t>
  </si>
  <si>
    <t>Sooja- ja hüdroisolatsioon (sh aluskatted, aurutõkked, jmt)</t>
  </si>
  <si>
    <t>Katusekatted (sh SBS, terasplekk, katusekivid, jmt)</t>
  </si>
  <si>
    <t>Muud katusetarinditega seotud tooted ja tööd</t>
  </si>
  <si>
    <t>6.2.6.</t>
  </si>
  <si>
    <t xml:space="preserve">RUUMITARINDID JA PINNAKATTED </t>
  </si>
  <si>
    <t>Vaheseinad, avatäited</t>
  </si>
  <si>
    <t>Vaheseinad</t>
  </si>
  <si>
    <t>Klaasvaheseinad</t>
  </si>
  <si>
    <t>Siseseinte ladumine (nt Columbia, sh betoneerimisega)</t>
  </si>
  <si>
    <t>Siirdesein 6890x3000mm</t>
  </si>
  <si>
    <t xml:space="preserve">WC kabiini seinad </t>
  </si>
  <si>
    <t>Puit- ja kipsplaatvaheseinad</t>
  </si>
  <si>
    <t>Siseaknad</t>
  </si>
  <si>
    <t>Siseaknad (sh alumiiniumprofiilis, puidust, jt)</t>
  </si>
  <si>
    <t>Muud vaheseintega seotud  tooted ja tööd</t>
  </si>
  <si>
    <t xml:space="preserve">Siseuksed </t>
  </si>
  <si>
    <t>Klaasuksed (sh metallprofiilis, jt)</t>
  </si>
  <si>
    <t>Puituksed</t>
  </si>
  <si>
    <t>Metalluksed</t>
  </si>
  <si>
    <t>PVC uksed</t>
  </si>
  <si>
    <t xml:space="preserve">Siseuste lukustus ja käepidemed </t>
  </si>
  <si>
    <t>Muud siseustega seotud  tooted ja tööd</t>
  </si>
  <si>
    <t xml:space="preserve">Siseseinte pinnakatted </t>
  </si>
  <si>
    <t>Värvkatted</t>
  </si>
  <si>
    <t>Olemasolevate seinte korrastamine, pahteldamine ja värvimine</t>
  </si>
  <si>
    <t>Sise- ja välisseinte pahteldamine ja värvimine (sh põsed)</t>
  </si>
  <si>
    <t>Krohv- ja tasandus</t>
  </si>
  <si>
    <t>Seinte krohvimine</t>
  </si>
  <si>
    <t>Plaatkatted</t>
  </si>
  <si>
    <t xml:space="preserve">Keraamiline seinaplaat </t>
  </si>
  <si>
    <t>Puitvooderdus</t>
  </si>
  <si>
    <t>Puitvooderdused</t>
  </si>
  <si>
    <t>Muud siseseinte pinnakatetega seotud tooted ja tööd</t>
  </si>
  <si>
    <t xml:space="preserve">Seinte katmine niiskustõkkevõõbaga </t>
  </si>
  <si>
    <t>Seinte hüdroisolatsioon</t>
  </si>
  <si>
    <t>Muud sooja-, heli- ja hüdroisolatsiooniga seotud  tooted ja tööd</t>
  </si>
  <si>
    <t xml:space="preserve">Lagede pinnakatted </t>
  </si>
  <si>
    <t>Olemasoleva võlvlae korrastamine</t>
  </si>
  <si>
    <t>Lagede pahteldamine ja värvimine</t>
  </si>
  <si>
    <t>Ripplaed (sh moodul, kips, jt)</t>
  </si>
  <si>
    <t>Tulekindlad laekatted</t>
  </si>
  <si>
    <t>Vahelagede soojustus</t>
  </si>
  <si>
    <t>Akustiline plaat</t>
  </si>
  <si>
    <t>Muud lagede pinnakatetega seotud tooted ja tööd</t>
  </si>
  <si>
    <t xml:space="preserve">Põrandad ja põrandakatted </t>
  </si>
  <si>
    <t>Põrandate betoontasandusvalud</t>
  </si>
  <si>
    <t>Epokatted ja pinnakõvendid</t>
  </si>
  <si>
    <t>Põranda katteplaadid, restid, matid, vuugid</t>
  </si>
  <si>
    <t>Puitpõrandad</t>
  </si>
  <si>
    <t>Muud põrandate ja põrandakatetega seotud  tooted ja tööd</t>
  </si>
  <si>
    <t>Põrandate hüdroisolatsioon</t>
  </si>
  <si>
    <t>Põrandate müraisolatsioon</t>
  </si>
  <si>
    <t>Rullmaterjalist põrandakatted, vaibad</t>
  </si>
  <si>
    <t>Vaipkatted</t>
  </si>
  <si>
    <t>PVC katted</t>
  </si>
  <si>
    <t>Muud rullmaterjalist põrandakatete ja vaipadega seotud tööd</t>
  </si>
  <si>
    <t>Eriruumide pinnakatted</t>
  </si>
  <si>
    <t>Hoone infograafika (sildid, viidad, logod jms ning nende valgustus)</t>
  </si>
  <si>
    <t>Muud eriruumide pinnakatetega seotud tooted ja tööd</t>
  </si>
  <si>
    <t>6.2.7.</t>
  </si>
  <si>
    <t xml:space="preserve">INVENTAR, SEADMED </t>
  </si>
  <si>
    <t>Inventar</t>
  </si>
  <si>
    <t>Aksessuaarid ja väikevahendid</t>
  </si>
  <si>
    <t>Muud inventariga seotud tooted ja tööd</t>
  </si>
  <si>
    <t xml:space="preserve">Tõste- ja teisaldusseadmed </t>
  </si>
  <si>
    <t>Liftid</t>
  </si>
  <si>
    <t>Muud tõste- ja teisaldusseadmetega seotud tooted ja tööd</t>
  </si>
  <si>
    <t>6.2.8.</t>
  </si>
  <si>
    <t xml:space="preserve">TEHNOSÜSTEEMID </t>
  </si>
  <si>
    <t xml:space="preserve">Veevarustus ja kanalisatsioon </t>
  </si>
  <si>
    <t>Veevarustus</t>
  </si>
  <si>
    <t>Sanitaartehnika seadmed vastavalt spetsifikatsioonile</t>
  </si>
  <si>
    <t xml:space="preserve">Küte, ventilatsioon ja jahutus </t>
  </si>
  <si>
    <t>Küttetorustikud</t>
  </si>
  <si>
    <t>Küttekehad</t>
  </si>
  <si>
    <t>Soojasõlm</t>
  </si>
  <si>
    <t xml:space="preserve">Ventilatsiooniseadmed </t>
  </si>
  <si>
    <t xml:space="preserve">Ventilatsioonisüsteemi torustik </t>
  </si>
  <si>
    <t>Suitsuärastussüsteemid</t>
  </si>
  <si>
    <t xml:space="preserve">Jahutusseadmed </t>
  </si>
  <si>
    <t xml:space="preserve">Jahutustorustikud </t>
  </si>
  <si>
    <t>Muud kütte, ventilatsiooni ja jahutusega seotud tooted ja tööd</t>
  </si>
  <si>
    <t xml:space="preserve">Tuletõrjevarustus </t>
  </si>
  <si>
    <t>Muu tuletõrjevarustusega seotud tooted ja tööd</t>
  </si>
  <si>
    <t xml:space="preserve">Tugevvoolupaigaldis </t>
  </si>
  <si>
    <t>Elektri peajaotussüsteemid (sh kilbid)</t>
  </si>
  <si>
    <t>Varutoitesüsteem</t>
  </si>
  <si>
    <t>Katkematu toite UPS-jaotussüsteem</t>
  </si>
  <si>
    <t>Piksekaitse, maandus ja potensiaalühtlustus</t>
  </si>
  <si>
    <t>Kaabliteed (sh redelid, rennid, karbikud, postid jms.)</t>
  </si>
  <si>
    <t>Kaabeldus</t>
  </si>
  <si>
    <t>Valgustussüsteemid</t>
  </si>
  <si>
    <t xml:space="preserve">Elektriküte, sulatussüsteemid </t>
  </si>
  <si>
    <t>Muud tugevvoolupaigaldisega seotud tooted ja tööd</t>
  </si>
  <si>
    <t xml:space="preserve">Nõrkvoolupaigaldis ja automaatika </t>
  </si>
  <si>
    <t>Hooneautomaatika</t>
  </si>
  <si>
    <t>Andmesidesüsteem</t>
  </si>
  <si>
    <t>Valvesignalisatsioonisüsteemid</t>
  </si>
  <si>
    <t>Läbipääsusüsteemid</t>
  </si>
  <si>
    <t>Videovalvesüsteem</t>
  </si>
  <si>
    <t>Vaegkuuljate helisüsteem</t>
  </si>
  <si>
    <t>Kohtusaalide multimeedia süsteemid</t>
  </si>
  <si>
    <t>Ajanäidusüsteem</t>
  </si>
  <si>
    <t>Inva-WC appikutsesüsteem</t>
  </si>
  <si>
    <t>Järjekorrasüsteem (aktiivseadmeteta, vt tehniline kirjeldus)</t>
  </si>
  <si>
    <t>Automaatne tulekahjusignalisatsioon</t>
  </si>
  <si>
    <t>Muud nõrkvoolupaigaldise ja automaatikaga seotud tooted ja tööd</t>
  </si>
  <si>
    <t>6.2.9.</t>
  </si>
  <si>
    <t xml:space="preserve">EHITUSPLATSI ÜLD- JA KORRALDUSKULUD </t>
  </si>
  <si>
    <t>Ehitusplatsi üld- ja korralduskulud</t>
  </si>
  <si>
    <t>Teostusdokumentatsioon, kontrollmõõdistused, juhendmaterjalid, koolitused jmt</t>
  </si>
  <si>
    <t>Töövõtja ehituse korraldamisega seotud kulud koos üldkuludega</t>
  </si>
  <si>
    <t>Ehitustööde kindlustus, CAR</t>
  </si>
  <si>
    <t>Muud ehitusplatsi üld- ja korralduskulud</t>
  </si>
  <si>
    <t>6.2.10.</t>
  </si>
  <si>
    <t>ERILAHENDUSED (ei sisaldu ehitushankes)</t>
  </si>
  <si>
    <t>6.2.10.1.</t>
  </si>
  <si>
    <t>JuMi generaator</t>
  </si>
  <si>
    <t>6.2.10.2</t>
  </si>
  <si>
    <t>Eriruumi EN, ET, LPS</t>
  </si>
  <si>
    <t>6.2.10.3.</t>
  </si>
  <si>
    <t>PPA parkla ehitus</t>
  </si>
  <si>
    <t>SISUSTAMINE</t>
  </si>
  <si>
    <t>Sisustus ja kunstiteosed</t>
  </si>
  <si>
    <t>Tavasisustus</t>
  </si>
  <si>
    <t>Viidandus</t>
  </si>
  <si>
    <t>Kunst</t>
  </si>
  <si>
    <t>Kunstikonkursi korralduskulud</t>
  </si>
  <si>
    <t>RESERV</t>
  </si>
  <si>
    <t>Reserv</t>
  </si>
  <si>
    <t>Projekteerimise lepingu reserv</t>
  </si>
  <si>
    <t>Ehituslepingu reserv</t>
  </si>
  <si>
    <t>Sisustuse reserv</t>
  </si>
  <si>
    <t>EELDATAV MAKSUMUS KOKKU, KM-TA</t>
  </si>
  <si>
    <t>EELDATAV MAKSUMUS KÕIK KOKKU, KM-TA</t>
  </si>
  <si>
    <t>EHITUSTÖÖDE AEGNE INTRESS</t>
  </si>
  <si>
    <t>Intressikulu</t>
  </si>
  <si>
    <t>PROJEKTIJUHTIMISE KAUDSED KULUD, KM-TA</t>
  </si>
  <si>
    <t>EELDATAV MAKSUMUS KOKKU KOOS KAUDSETE KULUDEGA, KM-TA</t>
  </si>
  <si>
    <t>SISSEVOOL, KM-TA</t>
  </si>
  <si>
    <t>CO2 toetus</t>
  </si>
  <si>
    <t>EELDATAV MAKSUMUS KOOS KAUDSETE KULUDE JA SISSEVOOLUGA, KM-TA</t>
  </si>
  <si>
    <t xml:space="preserve">KÄIBEMAKS </t>
  </si>
  <si>
    <t>EELDATAV MAKSUMUS KOKKU, KM-GA</t>
  </si>
  <si>
    <t>Lisa nr 2</t>
  </si>
  <si>
    <t xml:space="preserve">Sisustuse nimekiri ja eeldatav maksumus </t>
  </si>
  <si>
    <t>Sisustuse jagunemine (ainukasutuses pinnal)</t>
  </si>
  <si>
    <t>Sisustuse jagunemine (ühiskasutuses pinnal) - hoone</t>
  </si>
  <si>
    <t>Sisustuse jagunemine (ühiskasutuses pinnal) - v.a. Töötukassa</t>
  </si>
  <si>
    <t>Sisustuse jagunemine (ühiskasutuses pinnal) - Töötukassa 25%; Rahandusministeerium 75%</t>
  </si>
  <si>
    <t>Kokku (ainu- ja ühiskasutuses sisustuse jagunemine)</t>
  </si>
  <si>
    <t>Tähis</t>
  </si>
  <si>
    <t>Nimetus</t>
  </si>
  <si>
    <t>Kogus, tk</t>
  </si>
  <si>
    <t>Hind, EUR, km-ta</t>
  </si>
  <si>
    <t>Erisisustus</t>
  </si>
  <si>
    <t>RaM kogus</t>
  </si>
  <si>
    <t>TK kogus</t>
  </si>
  <si>
    <t>Aktiivne vakantsus kogus</t>
  </si>
  <si>
    <t>TK ja RaM kogus</t>
  </si>
  <si>
    <t>TK ja RaM maksumus</t>
  </si>
  <si>
    <t>Ühiskasutus (hoone) 
kogus</t>
  </si>
  <si>
    <t>Ühiskasutus (hoone) maksumus</t>
  </si>
  <si>
    <t>Ühiskasutus 
(va Töötukassa) kogus</t>
  </si>
  <si>
    <t>Ühiskasutus 
(va Töötukassa) maksumus</t>
  </si>
  <si>
    <t>Kokku (va Töötukassa)</t>
  </si>
  <si>
    <t>Osakaal (va Töötukassa)</t>
  </si>
  <si>
    <t>B-1</t>
  </si>
  <si>
    <t xml:space="preserve">Isteapall </t>
  </si>
  <si>
    <t>BL-1</t>
  </si>
  <si>
    <t>Kõrge kohviku laud</t>
  </si>
  <si>
    <t>BP-1</t>
  </si>
  <si>
    <t>Baaripukk</t>
  </si>
  <si>
    <t>D-1</t>
  </si>
  <si>
    <t xml:space="preserve">Väike diivan </t>
  </si>
  <si>
    <t>D-2</t>
  </si>
  <si>
    <t>Mooduldiivan</t>
  </si>
  <si>
    <t>D-3</t>
  </si>
  <si>
    <t>2 kohaline akustil. diivan külgede ja laega</t>
  </si>
  <si>
    <t>D-4</t>
  </si>
  <si>
    <t>puitraamiga väike diivan</t>
  </si>
  <si>
    <t>D-5</t>
  </si>
  <si>
    <t>Sisseehitatav diivan</t>
  </si>
  <si>
    <t>D-6</t>
  </si>
  <si>
    <t>DL-1</t>
  </si>
  <si>
    <t>Diivanilaud</t>
  </si>
  <si>
    <t>DL-2</t>
  </si>
  <si>
    <t>puidust diivanilaud</t>
  </si>
  <si>
    <t>DL-3</t>
  </si>
  <si>
    <t>puidust abilaud</t>
  </si>
  <si>
    <t>GK-2</t>
  </si>
  <si>
    <t>garderoobi kapp 2ne</t>
  </si>
  <si>
    <t>K-1</t>
  </si>
  <si>
    <t>Madal abikapp</t>
  </si>
  <si>
    <t>K-2</t>
  </si>
  <si>
    <t xml:space="preserve">Abikapp </t>
  </si>
  <si>
    <t>K-2*</t>
  </si>
  <si>
    <t>Abikapp (h650 max)</t>
  </si>
  <si>
    <t>K-3</t>
  </si>
  <si>
    <t>Dokumendikapp akustilise tagaseinaga</t>
  </si>
  <si>
    <t>K-4</t>
  </si>
  <si>
    <t>Personali kapp</t>
  </si>
  <si>
    <t>K-5</t>
  </si>
  <si>
    <t>Sahtlitega failikapp</t>
  </si>
  <si>
    <t>K-6</t>
  </si>
  <si>
    <t>Koristajaruumi kapp</t>
  </si>
  <si>
    <t>K-7</t>
  </si>
  <si>
    <t>Tulekindel failikapp</t>
  </si>
  <si>
    <t>KK-0</t>
  </si>
  <si>
    <t>Kaitseklaas</t>
  </si>
  <si>
    <t>L-1</t>
  </si>
  <si>
    <t>Riigimaja Info lett</t>
  </si>
  <si>
    <t>L-2</t>
  </si>
  <si>
    <t>Klienditeenindus lett</t>
  </si>
  <si>
    <t>L-3</t>
  </si>
  <si>
    <t>Töötukassa infolett</t>
  </si>
  <si>
    <t>L-4</t>
  </si>
  <si>
    <t>Töötukassa vahepaneel</t>
  </si>
  <si>
    <t>LL-1</t>
  </si>
  <si>
    <t>Laste mööbli komplekt</t>
  </si>
  <si>
    <t>LL-2</t>
  </si>
  <si>
    <t>Lasteriiulid ja kastid</t>
  </si>
  <si>
    <t>LM-1</t>
  </si>
  <si>
    <t>Laste mängu atraktsioon</t>
  </si>
  <si>
    <t>LR-10</t>
  </si>
  <si>
    <t>Laoriiulid</t>
  </si>
  <si>
    <t>LR-10-6</t>
  </si>
  <si>
    <t>LR-12</t>
  </si>
  <si>
    <t>LR-12-6</t>
  </si>
  <si>
    <t>N-1</t>
  </si>
  <si>
    <t>Nagi</t>
  </si>
  <si>
    <t>N-2</t>
  </si>
  <si>
    <t>Seina nagi</t>
  </si>
  <si>
    <t>NL-2</t>
  </si>
  <si>
    <t>Nõupidamiste ruumi laud</t>
  </si>
  <si>
    <t>NL-10</t>
  </si>
  <si>
    <t>Nõupidamisruumi kompl.  laud ja 10 tooli</t>
  </si>
  <si>
    <t>T-10</t>
  </si>
  <si>
    <t>Nõupidamiste laua toolid</t>
  </si>
  <si>
    <t>NL-6</t>
  </si>
  <si>
    <t>nõupidamiste komplekt 6</t>
  </si>
  <si>
    <t>T-12</t>
  </si>
  <si>
    <t>Puidust nõupidamistruumi toolid</t>
  </si>
  <si>
    <t>NL-8</t>
  </si>
  <si>
    <t>ovaalne laud</t>
  </si>
  <si>
    <t>T-8</t>
  </si>
  <si>
    <t>Puidust söögilaua toolid</t>
  </si>
  <si>
    <t>NL-12</t>
  </si>
  <si>
    <t>ovaalne  suur laud</t>
  </si>
  <si>
    <t>P-1</t>
  </si>
  <si>
    <t>kohtumaja fuajee pink</t>
  </si>
  <si>
    <t>P-2</t>
  </si>
  <si>
    <t>Pink</t>
  </si>
  <si>
    <t>PJ</t>
  </si>
  <si>
    <t>Prügijaam (olmejäätmete sorteerimiseks)</t>
  </si>
  <si>
    <t>R-1</t>
  </si>
  <si>
    <t>Riiulitega dokumendikapp</t>
  </si>
  <si>
    <t>RK-1</t>
  </si>
  <si>
    <t>Riidekapp</t>
  </si>
  <si>
    <t>RK-2</t>
  </si>
  <si>
    <t>Riidekapp kohtu fuajees</t>
  </si>
  <si>
    <t>RK-3</t>
  </si>
  <si>
    <t>Riidekapp üldalal</t>
  </si>
  <si>
    <t>RK-4</t>
  </si>
  <si>
    <t>Riidekapp Töötukassa</t>
  </si>
  <si>
    <t>RK-5</t>
  </si>
  <si>
    <t>T-1</t>
  </si>
  <si>
    <t>Klienditool</t>
  </si>
  <si>
    <t>T-2</t>
  </si>
  <si>
    <t>Ergonoomiline klienditool</t>
  </si>
  <si>
    <t>T-3</t>
  </si>
  <si>
    <t>puitraamiga tugitool</t>
  </si>
  <si>
    <t>T-4</t>
  </si>
  <si>
    <t>Akustiline tugitool seljatoe ja katusega</t>
  </si>
  <si>
    <t>T-5</t>
  </si>
  <si>
    <t>Ümar väike tugitool</t>
  </si>
  <si>
    <t>T-6</t>
  </si>
  <si>
    <t>HARNO tool (nt Standardi Lobbi (LOTTM) või Romeo (ROTT))</t>
  </si>
  <si>
    <t>TL-1</t>
  </si>
  <si>
    <t>Elektriliselt tõstetav töölaua komplekt</t>
  </si>
  <si>
    <t>TL-2</t>
  </si>
  <si>
    <t>Nurgalaud 190</t>
  </si>
  <si>
    <t>TL-3</t>
  </si>
  <si>
    <t>Elektriline töölaud väiksed</t>
  </si>
  <si>
    <t>TL-4</t>
  </si>
  <si>
    <t>TL-5</t>
  </si>
  <si>
    <t>Elektriliselt tõstetav töölaua 1550 (Töötukassa)</t>
  </si>
  <si>
    <t>TL-V</t>
  </si>
  <si>
    <t>Vahepaneel (ehk akustiline sirm töölauale)</t>
  </si>
  <si>
    <t>TT-1</t>
  </si>
  <si>
    <t>Ergonoomiline töötool</t>
  </si>
  <si>
    <t>TT-2</t>
  </si>
  <si>
    <t>väiksem töötool 4h</t>
  </si>
  <si>
    <t>TT-4</t>
  </si>
  <si>
    <t>Kohtuniku tool</t>
  </si>
  <si>
    <t>Kohtusaalide kuulajate toolid</t>
  </si>
  <si>
    <t>Kohtusaali kohtunike lauad</t>
  </si>
  <si>
    <t>Kohtusaali kaitsjate/süüdistajate lauad</t>
  </si>
  <si>
    <t>Kohtusaali kohtunike ja juristide töötoolid</t>
  </si>
  <si>
    <t xml:space="preserve">Kohtualuse kõnepult </t>
  </si>
  <si>
    <t xml:space="preserve">Tellimus mööbel </t>
  </si>
  <si>
    <t>Kabiin-1</t>
  </si>
  <si>
    <t>Kabiin-2</t>
  </si>
  <si>
    <t>kohtu köök (ruum 71, köögi joonis SAF-11) [ hind koos tehnikaga ]</t>
  </si>
  <si>
    <t>kohtu köök (ruum 58, köögi joonis SAF-12) -- kohus ei soovi seda kööki</t>
  </si>
  <si>
    <t>Töötukassa köök (ruum 55-1,köögi joonis SAF-10) [ hind koos tehnikaga ]</t>
  </si>
  <si>
    <t>Ühispuhkeala Köök (ruum 93-1, joonis SAF-14) [ hind koos tehnikaga ]</t>
  </si>
  <si>
    <t>Prokuratuuri köök (ruum 115, joonis SAF-13) [ hind koos tehnikaga ]</t>
  </si>
  <si>
    <t xml:space="preserve">Tehnoloogiline sisustus </t>
  </si>
  <si>
    <t>Pesumasin</t>
  </si>
  <si>
    <t>Kuivati</t>
  </si>
  <si>
    <t>Sisustuse maksumus kokku</t>
  </si>
  <si>
    <t>sh Tavasisustus</t>
  </si>
  <si>
    <t>sh Erisisustus</t>
  </si>
  <si>
    <t>Sisustuse algväärtus kokku</t>
  </si>
  <si>
    <t>sh Tavasisustus kokku</t>
  </si>
  <si>
    <t>sh Erisisustus kokku</t>
  </si>
  <si>
    <t>Tavasisustuse remonttööd</t>
  </si>
  <si>
    <t>Sisustuse lõppväärtus</t>
  </si>
  <si>
    <t>Käibemaks</t>
  </si>
  <si>
    <t>Eeldatav maksumus kokku, km-ga:</t>
  </si>
  <si>
    <t>Üürilepingu nr KPJ-4/2022-33  lisale nr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</si>
</sst>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#,##0.0"/>
    <numFmt numFmtId="166" formatCode="#,##0\ &quot;€&quot;"/>
    <numFmt numFmtId="167" formatCode="#,##0.00\ &quot;€&quot;"/>
    <numFmt numFmtId="168" formatCode="0.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3">
    <xf numFmtId="0" fontId="0" fillId="0" borderId="0" xfId="0"/>
    <xf numFmtId="0" fontId="4" fillId="0" borderId="0" xfId="2" applyFont="1"/>
    <xf numFmtId="0" fontId="1" fillId="0" borderId="0" xfId="2" applyFont="1"/>
    <xf numFmtId="3" fontId="1" fillId="0" borderId="0" xfId="2" applyNumberFormat="1" applyFont="1" applyAlignment="1">
      <alignment horizontal="right"/>
    </xf>
    <xf numFmtId="4" fontId="6" fillId="0" borderId="0" xfId="3" applyNumberFormat="1" applyFont="1" applyAlignment="1">
      <alignment horizontal="right"/>
    </xf>
    <xf numFmtId="4" fontId="7" fillId="0" borderId="0" xfId="3" applyNumberFormat="1" applyFont="1" applyAlignment="1">
      <alignment horizontal="right"/>
    </xf>
    <xf numFmtId="0" fontId="0" fillId="0" borderId="0" xfId="2" applyFont="1"/>
    <xf numFmtId="0" fontId="2" fillId="0" borderId="0" xfId="4" applyFont="1" applyAlignment="1">
      <alignment horizontal="left" wrapText="1"/>
    </xf>
    <xf numFmtId="0" fontId="2" fillId="0" borderId="0" xfId="2" applyFont="1" applyAlignment="1">
      <alignment horizontal="left"/>
    </xf>
    <xf numFmtId="0" fontId="6" fillId="0" borderId="0" xfId="2" applyFont="1" applyAlignment="1">
      <alignment vertical="center"/>
    </xf>
    <xf numFmtId="0" fontId="4" fillId="0" borderId="1" xfId="2" applyFont="1" applyBorder="1"/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3" fontId="6" fillId="0" borderId="4" xfId="2" applyNumberFormat="1" applyFont="1" applyBorder="1" applyAlignment="1">
      <alignment horizontal="right" vertical="center" wrapText="1"/>
    </xf>
    <xf numFmtId="4" fontId="6" fillId="0" borderId="5" xfId="2" applyNumberFormat="1" applyFont="1" applyBorder="1" applyAlignment="1">
      <alignment horizontal="center" vertical="center" wrapText="1"/>
    </xf>
    <xf numFmtId="4" fontId="6" fillId="0" borderId="6" xfId="2" applyNumberFormat="1" applyFont="1" applyBorder="1" applyAlignment="1">
      <alignment horizontal="center" vertical="center" wrapText="1"/>
    </xf>
    <xf numFmtId="0" fontId="2" fillId="2" borderId="9" xfId="4" applyFont="1" applyFill="1" applyBorder="1" applyAlignment="1">
      <alignment horizontal="left" wrapText="1"/>
    </xf>
    <xf numFmtId="4" fontId="2" fillId="0" borderId="10" xfId="4" applyNumberFormat="1" applyFont="1" applyBorder="1" applyAlignment="1">
      <alignment horizontal="left" wrapText="1"/>
    </xf>
    <xf numFmtId="3" fontId="1" fillId="0" borderId="11" xfId="4" applyNumberFormat="1" applyBorder="1"/>
    <xf numFmtId="0" fontId="2" fillId="2" borderId="12" xfId="4" applyFont="1" applyFill="1" applyBorder="1" applyAlignment="1">
      <alignment horizontal="left"/>
    </xf>
    <xf numFmtId="0" fontId="2" fillId="0" borderId="0" xfId="4" applyFont="1" applyAlignment="1" applyProtection="1">
      <alignment horizontal="left" wrapText="1"/>
      <protection hidden="1"/>
    </xf>
    <xf numFmtId="0" fontId="2" fillId="2" borderId="12" xfId="4" applyFont="1" applyFill="1" applyBorder="1" applyAlignment="1">
      <alignment horizontal="left" wrapText="1"/>
    </xf>
    <xf numFmtId="3" fontId="6" fillId="3" borderId="14" xfId="2" applyNumberFormat="1" applyFont="1" applyFill="1" applyBorder="1" applyAlignment="1">
      <alignment horizontal="right" vertical="center" wrapText="1"/>
    </xf>
    <xf numFmtId="3" fontId="6" fillId="3" borderId="15" xfId="2" applyNumberFormat="1" applyFont="1" applyFill="1" applyBorder="1" applyAlignment="1">
      <alignment vertical="center" wrapText="1"/>
    </xf>
    <xf numFmtId="3" fontId="6" fillId="3" borderId="12" xfId="2" applyNumberFormat="1" applyFont="1" applyFill="1" applyBorder="1" applyAlignment="1">
      <alignment vertical="center" wrapText="1"/>
    </xf>
    <xf numFmtId="164" fontId="1" fillId="4" borderId="17" xfId="5" applyNumberFormat="1" applyFill="1" applyBorder="1" applyAlignment="1">
      <alignment horizontal="center"/>
    </xf>
    <xf numFmtId="4" fontId="2" fillId="0" borderId="18" xfId="4" applyNumberFormat="1" applyFont="1" applyBorder="1"/>
    <xf numFmtId="164" fontId="1" fillId="4" borderId="12" xfId="5" applyNumberFormat="1" applyFill="1" applyBorder="1" applyAlignment="1">
      <alignment horizontal="center"/>
    </xf>
    <xf numFmtId="4" fontId="1" fillId="0" borderId="18" xfId="4" applyNumberFormat="1" applyBorder="1" applyAlignment="1">
      <alignment horizontal="right"/>
    </xf>
    <xf numFmtId="3" fontId="1" fillId="0" borderId="19" xfId="4" applyNumberFormat="1" applyBorder="1"/>
    <xf numFmtId="0" fontId="11" fillId="0" borderId="12" xfId="4" applyFont="1" applyBorder="1"/>
    <xf numFmtId="165" fontId="11" fillId="0" borderId="12" xfId="4" applyNumberFormat="1" applyFont="1" applyBorder="1"/>
    <xf numFmtId="165" fontId="1" fillId="0" borderId="12" xfId="4" applyNumberFormat="1" applyBorder="1"/>
    <xf numFmtId="0" fontId="1" fillId="0" borderId="0" xfId="5" applyNumberFormat="1" applyFont="1" applyFill="1" applyBorder="1"/>
    <xf numFmtId="165" fontId="1" fillId="5" borderId="12" xfId="4" applyNumberFormat="1" applyFill="1" applyBorder="1"/>
    <xf numFmtId="0" fontId="6" fillId="2" borderId="13" xfId="2" applyFont="1" applyFill="1" applyBorder="1" applyAlignment="1">
      <alignment vertical="center" wrapText="1"/>
    </xf>
    <xf numFmtId="2" fontId="6" fillId="2" borderId="12" xfId="2" applyNumberFormat="1" applyFont="1" applyFill="1" applyBorder="1" applyAlignment="1">
      <alignment vertical="center" wrapText="1"/>
    </xf>
    <xf numFmtId="3" fontId="6" fillId="2" borderId="14" xfId="2" applyNumberFormat="1" applyFont="1" applyFill="1" applyBorder="1" applyAlignment="1">
      <alignment horizontal="right" vertical="center" wrapText="1"/>
    </xf>
    <xf numFmtId="3" fontId="6" fillId="2" borderId="15" xfId="2" applyNumberFormat="1" applyFont="1" applyFill="1" applyBorder="1" applyAlignment="1">
      <alignment vertical="center" wrapText="1"/>
    </xf>
    <xf numFmtId="3" fontId="6" fillId="2" borderId="12" xfId="2" applyNumberFormat="1" applyFont="1" applyFill="1" applyBorder="1" applyAlignment="1">
      <alignment vertical="center" wrapText="1"/>
    </xf>
    <xf numFmtId="0" fontId="8" fillId="0" borderId="20" xfId="4" applyFont="1" applyBorder="1"/>
    <xf numFmtId="4" fontId="8" fillId="0" borderId="21" xfId="4" applyNumberFormat="1" applyFont="1" applyBorder="1"/>
    <xf numFmtId="3" fontId="12" fillId="0" borderId="22" xfId="4" applyNumberFormat="1" applyFont="1" applyBorder="1" applyAlignment="1">
      <alignment horizontal="center"/>
    </xf>
    <xf numFmtId="3" fontId="13" fillId="0" borderId="23" xfId="4" applyNumberFormat="1" applyFont="1" applyBorder="1"/>
    <xf numFmtId="3" fontId="13" fillId="0" borderId="22" xfId="4" applyNumberFormat="1" applyFont="1" applyBorder="1"/>
    <xf numFmtId="3" fontId="13" fillId="0" borderId="21" xfId="4" applyNumberFormat="1" applyFont="1" applyBorder="1"/>
    <xf numFmtId="3" fontId="12" fillId="2" borderId="24" xfId="4" applyNumberFormat="1" applyFont="1" applyFill="1" applyBorder="1"/>
    <xf numFmtId="4" fontId="1" fillId="0" borderId="0" xfId="2" applyNumberFormat="1" applyFont="1"/>
    <xf numFmtId="0" fontId="7" fillId="0" borderId="13" xfId="2" applyFont="1" applyBorder="1" applyAlignment="1">
      <alignment vertical="center" wrapText="1"/>
    </xf>
    <xf numFmtId="2" fontId="7" fillId="0" borderId="12" xfId="2" applyNumberFormat="1" applyFont="1" applyBorder="1" applyAlignment="1">
      <alignment horizontal="left" vertical="center" wrapText="1" indent="1"/>
    </xf>
    <xf numFmtId="3" fontId="7" fillId="0" borderId="14" xfId="2" applyNumberFormat="1" applyFont="1" applyBorder="1" applyAlignment="1">
      <alignment horizontal="right" vertical="center" wrapText="1"/>
    </xf>
    <xf numFmtId="3" fontId="7" fillId="0" borderId="15" xfId="2" applyNumberFormat="1" applyFont="1" applyBorder="1" applyAlignment="1">
      <alignment horizontal="center" vertical="center" wrapText="1"/>
    </xf>
    <xf numFmtId="3" fontId="7" fillId="0" borderId="12" xfId="2" applyNumberFormat="1" applyFont="1" applyBorder="1" applyAlignment="1">
      <alignment horizontal="center" vertical="center" wrapText="1"/>
    </xf>
    <xf numFmtId="0" fontId="8" fillId="0" borderId="25" xfId="4" applyFont="1" applyBorder="1"/>
    <xf numFmtId="4" fontId="8" fillId="0" borderId="0" xfId="4" applyNumberFormat="1" applyFont="1"/>
    <xf numFmtId="3" fontId="12" fillId="0" borderId="26" xfId="4" applyNumberFormat="1" applyFont="1" applyBorder="1" applyAlignment="1">
      <alignment horizontal="center"/>
    </xf>
    <xf numFmtId="3" fontId="13" fillId="0" borderId="27" xfId="4" applyNumberFormat="1" applyFont="1" applyBorder="1"/>
    <xf numFmtId="3" fontId="13" fillId="0" borderId="26" xfId="4" applyNumberFormat="1" applyFont="1" applyBorder="1"/>
    <xf numFmtId="3" fontId="13" fillId="0" borderId="0" xfId="4" applyNumberFormat="1" applyFont="1"/>
    <xf numFmtId="3" fontId="13" fillId="2" borderId="24" xfId="4" applyNumberFormat="1" applyFont="1" applyFill="1" applyBorder="1"/>
    <xf numFmtId="0" fontId="2" fillId="0" borderId="12" xfId="4" applyFont="1" applyBorder="1"/>
    <xf numFmtId="165" fontId="2" fillId="0" borderId="12" xfId="4" applyNumberFormat="1" applyFont="1" applyBorder="1"/>
    <xf numFmtId="0" fontId="8" fillId="0" borderId="16" xfId="4" applyFont="1" applyBorder="1"/>
    <xf numFmtId="4" fontId="8" fillId="0" borderId="1" xfId="4" applyNumberFormat="1" applyFont="1" applyBorder="1"/>
    <xf numFmtId="3" fontId="12" fillId="0" borderId="28" xfId="4" applyNumberFormat="1" applyFont="1" applyBorder="1" applyAlignment="1">
      <alignment horizontal="center"/>
    </xf>
    <xf numFmtId="3" fontId="12" fillId="0" borderId="5" xfId="4" applyNumberFormat="1" applyFont="1" applyBorder="1"/>
    <xf numFmtId="3" fontId="12" fillId="0" borderId="28" xfId="4" applyNumberFormat="1" applyFont="1" applyBorder="1"/>
    <xf numFmtId="3" fontId="12" fillId="0" borderId="1" xfId="4" applyNumberFormat="1" applyFont="1" applyBorder="1"/>
    <xf numFmtId="3" fontId="12" fillId="2" borderId="19" xfId="4" applyNumberFormat="1" applyFont="1" applyFill="1" applyBorder="1"/>
    <xf numFmtId="4" fontId="14" fillId="0" borderId="0" xfId="4" applyNumberFormat="1" applyFont="1"/>
    <xf numFmtId="3" fontId="13" fillId="0" borderId="26" xfId="4" applyNumberFormat="1" applyFont="1" applyBorder="1" applyAlignment="1">
      <alignment horizontal="center"/>
    </xf>
    <xf numFmtId="0" fontId="2" fillId="0" borderId="29" xfId="4" applyFont="1" applyBorder="1"/>
    <xf numFmtId="165" fontId="2" fillId="0" borderId="29" xfId="4" applyNumberFormat="1" applyFont="1" applyBorder="1"/>
    <xf numFmtId="0" fontId="11" fillId="0" borderId="21" xfId="4" applyFont="1" applyBorder="1"/>
    <xf numFmtId="165" fontId="11" fillId="0" borderId="21" xfId="4" applyNumberFormat="1" applyFont="1" applyBorder="1"/>
    <xf numFmtId="4" fontId="14" fillId="0" borderId="30" xfId="4" applyNumberFormat="1" applyFont="1" applyBorder="1"/>
    <xf numFmtId="3" fontId="13" fillId="0" borderId="0" xfId="4" applyNumberFormat="1" applyFont="1" applyAlignment="1">
      <alignment horizontal="center"/>
    </xf>
    <xf numFmtId="0" fontId="11" fillId="0" borderId="0" xfId="4" applyFont="1"/>
    <xf numFmtId="165" fontId="11" fillId="0" borderId="0" xfId="4" applyNumberFormat="1" applyFont="1"/>
    <xf numFmtId="0" fontId="8" fillId="0" borderId="7" xfId="4" applyFont="1" applyBorder="1"/>
    <xf numFmtId="4" fontId="8" fillId="0" borderId="8" xfId="4" applyNumberFormat="1" applyFont="1" applyBorder="1"/>
    <xf numFmtId="3" fontId="12" fillId="0" borderId="31" xfId="4" applyNumberFormat="1" applyFont="1" applyBorder="1" applyAlignment="1">
      <alignment horizontal="center"/>
    </xf>
    <xf numFmtId="3" fontId="12" fillId="0" borderId="8" xfId="4" applyNumberFormat="1" applyFont="1" applyBorder="1"/>
    <xf numFmtId="3" fontId="12" fillId="0" borderId="31" xfId="4" applyNumberFormat="1" applyFont="1" applyBorder="1"/>
    <xf numFmtId="3" fontId="12" fillId="2" borderId="11" xfId="4" applyNumberFormat="1" applyFont="1" applyFill="1" applyBorder="1"/>
    <xf numFmtId="4" fontId="8" fillId="0" borderId="27" xfId="4" applyNumberFormat="1" applyFont="1" applyBorder="1"/>
    <xf numFmtId="0" fontId="1" fillId="0" borderId="0" xfId="4"/>
    <xf numFmtId="165" fontId="1" fillId="0" borderId="0" xfId="2" applyNumberFormat="1" applyFont="1"/>
    <xf numFmtId="0" fontId="1" fillId="0" borderId="12" xfId="4" applyBorder="1"/>
    <xf numFmtId="0" fontId="8" fillId="0" borderId="32" xfId="4" applyFont="1" applyBorder="1"/>
    <xf numFmtId="4" fontId="8" fillId="0" borderId="30" xfId="4" applyNumberFormat="1" applyFont="1" applyBorder="1"/>
    <xf numFmtId="3" fontId="13" fillId="0" borderId="33" xfId="4" applyNumberFormat="1" applyFont="1" applyBorder="1"/>
    <xf numFmtId="3" fontId="13" fillId="0" borderId="30" xfId="4" applyNumberFormat="1" applyFont="1" applyBorder="1"/>
    <xf numFmtId="3" fontId="12" fillId="2" borderId="34" xfId="4" applyNumberFormat="1" applyFont="1" applyFill="1" applyBorder="1"/>
    <xf numFmtId="165" fontId="1" fillId="0" borderId="0" xfId="4" applyNumberFormat="1"/>
    <xf numFmtId="165" fontId="15" fillId="0" borderId="12" xfId="4" applyNumberFormat="1" applyFont="1" applyBorder="1"/>
    <xf numFmtId="0" fontId="2" fillId="0" borderId="0" xfId="4" applyFont="1"/>
    <xf numFmtId="165" fontId="15" fillId="0" borderId="0" xfId="4" applyNumberFormat="1" applyFont="1"/>
    <xf numFmtId="3" fontId="7" fillId="6" borderId="14" xfId="2" applyNumberFormat="1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vertical="center" wrapText="1"/>
    </xf>
    <xf numFmtId="0" fontId="2" fillId="0" borderId="0" xfId="2" applyFont="1"/>
    <xf numFmtId="165" fontId="2" fillId="0" borderId="0" xfId="4" applyNumberFormat="1" applyFont="1"/>
    <xf numFmtId="3" fontId="7" fillId="0" borderId="15" xfId="2" applyNumberFormat="1" applyFont="1" applyBorder="1" applyAlignment="1">
      <alignment vertical="center" wrapText="1"/>
    </xf>
    <xf numFmtId="3" fontId="1" fillId="0" borderId="35" xfId="2" applyNumberFormat="1" applyFont="1" applyBorder="1" applyAlignment="1">
      <alignment horizontal="right"/>
    </xf>
    <xf numFmtId="16" fontId="6" fillId="2" borderId="13" xfId="2" applyNumberFormat="1" applyFont="1" applyFill="1" applyBorder="1" applyAlignment="1">
      <alignment vertical="center" wrapText="1"/>
    </xf>
    <xf numFmtId="0" fontId="8" fillId="0" borderId="36" xfId="4" applyFont="1" applyBorder="1"/>
    <xf numFmtId="4" fontId="8" fillId="0" borderId="37" xfId="4" applyNumberFormat="1" applyFont="1" applyBorder="1"/>
    <xf numFmtId="3" fontId="12" fillId="0" borderId="38" xfId="4" applyNumberFormat="1" applyFont="1" applyBorder="1" applyAlignment="1">
      <alignment horizontal="center"/>
    </xf>
    <xf numFmtId="3" fontId="12" fillId="0" borderId="37" xfId="4" applyNumberFormat="1" applyFont="1" applyBorder="1"/>
    <xf numFmtId="3" fontId="12" fillId="0" borderId="38" xfId="4" applyNumberFormat="1" applyFont="1" applyBorder="1"/>
    <xf numFmtId="3" fontId="12" fillId="2" borderId="39" xfId="4" applyNumberFormat="1" applyFont="1" applyFill="1" applyBorder="1"/>
    <xf numFmtId="0" fontId="0" fillId="0" borderId="15" xfId="0" applyBorder="1" applyAlignment="1">
      <alignment horizontal="left" indent="1"/>
    </xf>
    <xf numFmtId="3" fontId="17" fillId="6" borderId="14" xfId="1" applyNumberFormat="1" applyFont="1" applyFill="1" applyBorder="1" applyAlignment="1">
      <alignment horizontal="right" vertical="center" wrapText="1"/>
    </xf>
    <xf numFmtId="0" fontId="10" fillId="0" borderId="0" xfId="6" applyFont="1"/>
    <xf numFmtId="0" fontId="1" fillId="0" borderId="0" xfId="2" applyFont="1" applyAlignment="1">
      <alignment horizontal="right"/>
    </xf>
    <xf numFmtId="16" fontId="6" fillId="3" borderId="13" xfId="2" applyNumberFormat="1" applyFont="1" applyFill="1" applyBorder="1" applyAlignment="1">
      <alignment vertical="center" wrapText="1"/>
    </xf>
    <xf numFmtId="2" fontId="6" fillId="3" borderId="12" xfId="2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3" fontId="16" fillId="2" borderId="14" xfId="1" applyNumberFormat="1" applyFont="1" applyFill="1" applyBorder="1" applyAlignment="1">
      <alignment horizontal="right" vertical="center" wrapText="1"/>
    </xf>
    <xf numFmtId="3" fontId="7" fillId="2" borderId="15" xfId="2" applyNumberFormat="1" applyFont="1" applyFill="1" applyBorder="1" applyAlignment="1">
      <alignment horizontal="center" vertical="center" wrapText="1"/>
    </xf>
    <xf numFmtId="3" fontId="7" fillId="2" borderId="12" xfId="2" applyNumberFormat="1" applyFont="1" applyFill="1" applyBorder="1" applyAlignment="1">
      <alignment horizontal="center" vertical="center" wrapText="1"/>
    </xf>
    <xf numFmtId="16" fontId="6" fillId="0" borderId="13" xfId="2" applyNumberFormat="1" applyFont="1" applyBorder="1" applyAlignment="1">
      <alignment vertical="center" wrapText="1"/>
    </xf>
    <xf numFmtId="0" fontId="7" fillId="0" borderId="12" xfId="0" applyFont="1" applyBorder="1" applyAlignment="1">
      <alignment horizontal="left" indent="1"/>
    </xf>
    <xf numFmtId="3" fontId="17" fillId="0" borderId="14" xfId="1" applyNumberFormat="1" applyFont="1" applyFill="1" applyBorder="1" applyAlignment="1">
      <alignment horizontal="right" vertical="center" wrapText="1"/>
    </xf>
    <xf numFmtId="16" fontId="6" fillId="7" borderId="13" xfId="2" applyNumberFormat="1" applyFont="1" applyFill="1" applyBorder="1" applyAlignment="1">
      <alignment vertical="center" wrapText="1"/>
    </xf>
    <xf numFmtId="0" fontId="6" fillId="7" borderId="12" xfId="6" applyFont="1" applyFill="1" applyBorder="1" applyAlignment="1">
      <alignment wrapText="1"/>
    </xf>
    <xf numFmtId="3" fontId="17" fillId="7" borderId="14" xfId="1" applyNumberFormat="1" applyFont="1" applyFill="1" applyBorder="1" applyAlignment="1">
      <alignment horizontal="right" vertical="center" wrapText="1"/>
    </xf>
    <xf numFmtId="3" fontId="7" fillId="7" borderId="15" xfId="2" applyNumberFormat="1" applyFont="1" applyFill="1" applyBorder="1" applyAlignment="1">
      <alignment horizontal="center" vertical="center" wrapText="1"/>
    </xf>
    <xf numFmtId="3" fontId="7" fillId="7" borderId="12" xfId="2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 indent="1"/>
    </xf>
    <xf numFmtId="0" fontId="18" fillId="7" borderId="12" xfId="0" applyFont="1" applyFill="1" applyBorder="1" applyAlignment="1">
      <alignment wrapText="1"/>
    </xf>
    <xf numFmtId="3" fontId="17" fillId="5" borderId="14" xfId="1" applyNumberFormat="1" applyFont="1" applyFill="1" applyBorder="1" applyAlignment="1">
      <alignment horizontal="right" vertical="center" wrapText="1"/>
    </xf>
    <xf numFmtId="0" fontId="19" fillId="7" borderId="12" xfId="0" applyFont="1" applyFill="1" applyBorder="1" applyAlignment="1">
      <alignment wrapText="1"/>
    </xf>
    <xf numFmtId="0" fontId="20" fillId="0" borderId="12" xfId="0" applyFont="1" applyBorder="1" applyAlignment="1">
      <alignment horizontal="left" wrapText="1" indent="1"/>
    </xf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horizontal="left" indent="1"/>
    </xf>
    <xf numFmtId="0" fontId="17" fillId="0" borderId="12" xfId="0" applyFont="1" applyBorder="1" applyAlignment="1">
      <alignment horizontal="left" wrapText="1" indent="1"/>
    </xf>
    <xf numFmtId="0" fontId="7" fillId="0" borderId="12" xfId="6" applyFont="1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6" fillId="7" borderId="12" xfId="0" applyFont="1" applyFill="1" applyBorder="1" applyAlignment="1">
      <alignment wrapText="1"/>
    </xf>
    <xf numFmtId="0" fontId="18" fillId="7" borderId="12" xfId="6" applyFont="1" applyFill="1" applyBorder="1" applyAlignment="1">
      <alignment wrapText="1"/>
    </xf>
    <xf numFmtId="0" fontId="16" fillId="7" borderId="12" xfId="6" applyFont="1" applyFill="1" applyBorder="1" applyAlignment="1">
      <alignment wrapText="1"/>
    </xf>
    <xf numFmtId="0" fontId="7" fillId="7" borderId="13" xfId="2" quotePrefix="1" applyFont="1" applyFill="1" applyBorder="1" applyAlignment="1">
      <alignment vertical="center" wrapText="1"/>
    </xf>
    <xf numFmtId="0" fontId="7" fillId="0" borderId="13" xfId="2" quotePrefix="1" applyFont="1" applyBorder="1" applyAlignment="1">
      <alignment vertical="center" wrapText="1"/>
    </xf>
    <xf numFmtId="0" fontId="7" fillId="7" borderId="13" xfId="2" applyFont="1" applyFill="1" applyBorder="1" applyAlignment="1">
      <alignment vertical="center" wrapText="1"/>
    </xf>
    <xf numFmtId="0" fontId="20" fillId="0" borderId="40" xfId="0" applyFont="1" applyBorder="1" applyAlignment="1">
      <alignment horizontal="left" vertical="top" indent="1"/>
    </xf>
    <xf numFmtId="0" fontId="7" fillId="0" borderId="29" xfId="0" applyFont="1" applyBorder="1" applyAlignment="1">
      <alignment horizontal="left" wrapText="1" indent="1"/>
    </xf>
    <xf numFmtId="3" fontId="17" fillId="0" borderId="41" xfId="1" applyNumberFormat="1" applyFont="1" applyFill="1" applyBorder="1" applyAlignment="1">
      <alignment horizontal="right" vertical="center" wrapText="1"/>
    </xf>
    <xf numFmtId="0" fontId="7" fillId="0" borderId="23" xfId="0" applyFont="1" applyBorder="1" applyAlignment="1">
      <alignment horizontal="left" wrapText="1" indent="1"/>
    </xf>
    <xf numFmtId="3" fontId="17" fillId="6" borderId="41" xfId="1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center" vertical="center" wrapText="1"/>
    </xf>
    <xf numFmtId="3" fontId="21" fillId="0" borderId="13" xfId="2" applyNumberFormat="1" applyFont="1" applyBorder="1" applyAlignment="1">
      <alignment horizontal="left" vertical="center" wrapText="1"/>
    </xf>
    <xf numFmtId="3" fontId="17" fillId="5" borderId="41" xfId="1" applyNumberFormat="1" applyFont="1" applyFill="1" applyBorder="1" applyAlignment="1">
      <alignment horizontal="right" vertical="center" wrapText="1"/>
    </xf>
    <xf numFmtId="3" fontId="17" fillId="8" borderId="14" xfId="2" applyNumberFormat="1" applyFont="1" applyFill="1" applyBorder="1" applyAlignment="1">
      <alignment horizontal="right" vertical="center" wrapText="1"/>
    </xf>
    <xf numFmtId="3" fontId="17" fillId="0" borderId="14" xfId="2" applyNumberFormat="1" applyFont="1" applyBorder="1" applyAlignment="1">
      <alignment horizontal="right" vertical="center" wrapText="1"/>
    </xf>
    <xf numFmtId="0" fontId="6" fillId="2" borderId="43" xfId="2" applyFont="1" applyFill="1" applyBorder="1" applyAlignment="1">
      <alignment horizontal="right" vertical="center" wrapText="1"/>
    </xf>
    <xf numFmtId="0" fontId="6" fillId="2" borderId="29" xfId="2" applyFont="1" applyFill="1" applyBorder="1" applyAlignment="1">
      <alignment horizontal="left" vertical="center" wrapText="1"/>
    </xf>
    <xf numFmtId="3" fontId="6" fillId="2" borderId="41" xfId="2" applyNumberFormat="1" applyFont="1" applyFill="1" applyBorder="1" applyAlignment="1">
      <alignment horizontal="right" vertical="center" wrapText="1"/>
    </xf>
    <xf numFmtId="0" fontId="7" fillId="0" borderId="43" xfId="2" applyFont="1" applyBorder="1" applyAlignment="1">
      <alignment horizontal="left" vertical="center" wrapText="1"/>
    </xf>
    <xf numFmtId="0" fontId="7" fillId="0" borderId="29" xfId="2" applyFont="1" applyBorder="1" applyAlignment="1">
      <alignment horizontal="left" vertical="center" wrapText="1" indent="1"/>
    </xf>
    <xf numFmtId="3" fontId="7" fillId="0" borderId="41" xfId="2" applyNumberFormat="1" applyFont="1" applyBorder="1" applyAlignment="1">
      <alignment horizontal="right" vertical="center" wrapText="1"/>
    </xf>
    <xf numFmtId="3" fontId="6" fillId="0" borderId="15" xfId="2" applyNumberFormat="1" applyFont="1" applyBorder="1" applyAlignment="1">
      <alignment vertical="center" wrapText="1"/>
    </xf>
    <xf numFmtId="3" fontId="6" fillId="0" borderId="12" xfId="2" applyNumberFormat="1" applyFont="1" applyBorder="1" applyAlignment="1">
      <alignment vertical="center" wrapText="1"/>
    </xf>
    <xf numFmtId="3" fontId="6" fillId="3" borderId="46" xfId="2" applyNumberFormat="1" applyFont="1" applyFill="1" applyBorder="1" applyAlignment="1">
      <alignment horizontal="right" vertical="center" wrapText="1"/>
    </xf>
    <xf numFmtId="3" fontId="6" fillId="3" borderId="23" xfId="2" applyNumberFormat="1" applyFont="1" applyFill="1" applyBorder="1" applyAlignment="1">
      <alignment vertical="center" wrapText="1"/>
    </xf>
    <xf numFmtId="3" fontId="6" fillId="3" borderId="29" xfId="2" applyNumberFormat="1" applyFont="1" applyFill="1" applyBorder="1" applyAlignment="1">
      <alignment vertical="center" wrapText="1"/>
    </xf>
    <xf numFmtId="3" fontId="6" fillId="0" borderId="20" xfId="2" applyNumberFormat="1" applyFont="1" applyBorder="1" applyAlignment="1">
      <alignment vertical="center" wrapText="1"/>
    </xf>
    <xf numFmtId="3" fontId="6" fillId="0" borderId="21" xfId="2" applyNumberFormat="1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6" fillId="2" borderId="13" xfId="2" applyFont="1" applyFill="1" applyBorder="1" applyAlignment="1">
      <alignment horizontal="right" vertical="center" wrapText="1"/>
    </xf>
    <xf numFmtId="164" fontId="6" fillId="2" borderId="12" xfId="2" applyNumberFormat="1" applyFont="1" applyFill="1" applyBorder="1" applyAlignment="1">
      <alignment horizontal="left" vertical="center" wrapText="1"/>
    </xf>
    <xf numFmtId="164" fontId="7" fillId="0" borderId="0" xfId="2" applyNumberFormat="1" applyFont="1" applyAlignment="1">
      <alignment horizontal="left" vertical="center" wrapText="1"/>
    </xf>
    <xf numFmtId="164" fontId="6" fillId="2" borderId="29" xfId="2" applyNumberFormat="1" applyFont="1" applyFill="1" applyBorder="1" applyAlignment="1">
      <alignment horizontal="left" vertical="center" wrapText="1"/>
    </xf>
    <xf numFmtId="0" fontId="6" fillId="0" borderId="43" xfId="2" applyFont="1" applyBorder="1" applyAlignment="1">
      <alignment horizontal="right" vertical="center" wrapText="1"/>
    </xf>
    <xf numFmtId="10" fontId="7" fillId="0" borderId="29" xfId="2" applyNumberFormat="1" applyFont="1" applyBorder="1" applyAlignment="1">
      <alignment horizontal="left" vertical="center" wrapText="1"/>
    </xf>
    <xf numFmtId="10" fontId="7" fillId="0" borderId="0" xfId="2" applyNumberFormat="1" applyFont="1" applyAlignment="1">
      <alignment horizontal="left" vertical="center" wrapText="1"/>
    </xf>
    <xf numFmtId="9" fontId="6" fillId="2" borderId="12" xfId="2" applyNumberFormat="1" applyFont="1" applyFill="1" applyBorder="1" applyAlignment="1">
      <alignment horizontal="left" vertical="center" wrapText="1"/>
    </xf>
    <xf numFmtId="9" fontId="7" fillId="0" borderId="0" xfId="2" applyNumberFormat="1" applyFont="1" applyAlignment="1">
      <alignment horizontal="left" vertical="center" wrapText="1"/>
    </xf>
    <xf numFmtId="3" fontId="6" fillId="0" borderId="0" xfId="2" applyNumberFormat="1" applyFont="1" applyAlignment="1">
      <alignment horizontal="right" vertical="center" wrapText="1"/>
    </xf>
    <xf numFmtId="0" fontId="22" fillId="0" borderId="0" xfId="2" applyFont="1"/>
    <xf numFmtId="3" fontId="22" fillId="0" borderId="0" xfId="2" applyNumberFormat="1" applyFont="1" applyAlignment="1">
      <alignment horizontal="right"/>
    </xf>
    <xf numFmtId="0" fontId="11" fillId="0" borderId="0" xfId="4" applyFont="1" applyAlignment="1">
      <alignment horizontal="left"/>
    </xf>
    <xf numFmtId="0" fontId="24" fillId="0" borderId="0" xfId="2" applyFont="1"/>
    <xf numFmtId="0" fontId="25" fillId="0" borderId="0" xfId="3" applyFont="1" applyAlignment="1">
      <alignment horizontal="right"/>
    </xf>
    <xf numFmtId="0" fontId="20" fillId="0" borderId="0" xfId="4" applyFont="1" applyAlignment="1">
      <alignment horizontal="left"/>
    </xf>
    <xf numFmtId="4" fontId="5" fillId="0" borderId="0" xfId="3" applyNumberFormat="1" applyAlignment="1">
      <alignment horizontal="right"/>
    </xf>
    <xf numFmtId="0" fontId="20" fillId="0" borderId="0" xfId="4" applyFont="1"/>
    <xf numFmtId="0" fontId="5" fillId="0" borderId="0" xfId="3" applyAlignment="1">
      <alignment horizontal="right"/>
    </xf>
    <xf numFmtId="0" fontId="26" fillId="0" borderId="0" xfId="4" applyFont="1" applyAlignment="1">
      <alignment horizontal="left"/>
    </xf>
    <xf numFmtId="0" fontId="26" fillId="0" borderId="0" xfId="4" applyFont="1" applyAlignment="1">
      <alignment horizontal="center"/>
    </xf>
    <xf numFmtId="0" fontId="11" fillId="0" borderId="24" xfId="4" applyFont="1" applyBorder="1"/>
    <xf numFmtId="0" fontId="2" fillId="0" borderId="44" xfId="4" applyFont="1" applyBorder="1" applyAlignment="1">
      <alignment horizontal="left"/>
    </xf>
    <xf numFmtId="0" fontId="28" fillId="0" borderId="50" xfId="4" applyFont="1" applyBorder="1" applyAlignment="1">
      <alignment horizontal="left"/>
    </xf>
    <xf numFmtId="0" fontId="2" fillId="2" borderId="45" xfId="4" applyFont="1" applyFill="1" applyBorder="1" applyAlignment="1">
      <alignment horizontal="center" wrapText="1"/>
    </xf>
    <xf numFmtId="0" fontId="15" fillId="0" borderId="45" xfId="4" applyFont="1" applyBorder="1" applyAlignment="1">
      <alignment horizontal="center" wrapText="1"/>
    </xf>
    <xf numFmtId="0" fontId="15" fillId="2" borderId="46" xfId="4" applyFont="1" applyFill="1" applyBorder="1" applyAlignment="1">
      <alignment horizontal="center" wrapText="1"/>
    </xf>
    <xf numFmtId="0" fontId="2" fillId="0" borderId="44" xfId="4" applyFont="1" applyBorder="1" applyAlignment="1">
      <alignment horizontal="center"/>
    </xf>
    <xf numFmtId="0" fontId="2" fillId="0" borderId="46" xfId="4" applyFont="1" applyBorder="1" applyAlignment="1">
      <alignment horizontal="center"/>
    </xf>
    <xf numFmtId="0" fontId="2" fillId="0" borderId="51" xfId="4" applyFont="1" applyBorder="1" applyAlignment="1">
      <alignment horizontal="center"/>
    </xf>
    <xf numFmtId="0" fontId="2" fillId="0" borderId="44" xfId="4" applyFont="1" applyBorder="1" applyAlignment="1">
      <alignment horizontal="center" wrapText="1"/>
    </xf>
    <xf numFmtId="4" fontId="2" fillId="2" borderId="45" xfId="4" applyNumberFormat="1" applyFont="1" applyFill="1" applyBorder="1" applyAlignment="1">
      <alignment horizontal="center" wrapText="1"/>
    </xf>
    <xf numFmtId="0" fontId="2" fillId="0" borderId="45" xfId="4" applyFont="1" applyBorder="1" applyAlignment="1">
      <alignment horizontal="center" wrapText="1"/>
    </xf>
    <xf numFmtId="4" fontId="2" fillId="6" borderId="45" xfId="4" applyNumberFormat="1" applyFont="1" applyFill="1" applyBorder="1" applyAlignment="1">
      <alignment horizontal="center" wrapText="1"/>
    </xf>
    <xf numFmtId="0" fontId="16" fillId="0" borderId="50" xfId="4" applyFont="1" applyBorder="1" applyAlignment="1">
      <alignment horizontal="center" wrapText="1"/>
    </xf>
    <xf numFmtId="4" fontId="2" fillId="2" borderId="50" xfId="4" applyNumberFormat="1" applyFont="1" applyFill="1" applyBorder="1" applyAlignment="1">
      <alignment horizontal="center" wrapText="1"/>
    </xf>
    <xf numFmtId="4" fontId="2" fillId="2" borderId="46" xfId="4" applyNumberFormat="1" applyFont="1" applyFill="1" applyBorder="1" applyAlignment="1">
      <alignment horizontal="center" wrapText="1"/>
    </xf>
    <xf numFmtId="4" fontId="2" fillId="2" borderId="44" xfId="4" applyNumberFormat="1" applyFont="1" applyFill="1" applyBorder="1" applyAlignment="1">
      <alignment horizontal="center" wrapText="1"/>
    </xf>
    <xf numFmtId="0" fontId="2" fillId="0" borderId="0" xfId="4" applyFont="1" applyAlignment="1">
      <alignment horizontal="center"/>
    </xf>
    <xf numFmtId="4" fontId="28" fillId="2" borderId="46" xfId="4" applyNumberFormat="1" applyFont="1" applyFill="1" applyBorder="1" applyAlignment="1">
      <alignment horizontal="center" wrapText="1"/>
    </xf>
    <xf numFmtId="0" fontId="2" fillId="2" borderId="17" xfId="4" applyFont="1" applyFill="1" applyBorder="1" applyAlignment="1">
      <alignment horizontal="left"/>
    </xf>
    <xf numFmtId="1" fontId="11" fillId="0" borderId="24" xfId="4" applyNumberFormat="1" applyFont="1" applyBorder="1"/>
    <xf numFmtId="1" fontId="11" fillId="0" borderId="2" xfId="4" applyNumberFormat="1" applyFont="1" applyBorder="1" applyAlignment="1" applyProtection="1">
      <alignment horizontal="left"/>
      <protection locked="0"/>
    </xf>
    <xf numFmtId="0" fontId="20" fillId="0" borderId="3" xfId="4" applyFont="1" applyBorder="1" applyAlignment="1" applyProtection="1">
      <alignment horizontal="left" vertical="center"/>
      <protection locked="0"/>
    </xf>
    <xf numFmtId="1" fontId="7" fillId="7" borderId="3" xfId="7" applyNumberFormat="1" applyFont="1" applyFill="1" applyBorder="1" applyAlignment="1" applyProtection="1">
      <alignment horizontal="right" vertical="top" wrapText="1"/>
    </xf>
    <xf numFmtId="166" fontId="7" fillId="0" borderId="3" xfId="0" applyNumberFormat="1" applyFont="1" applyBorder="1"/>
    <xf numFmtId="3" fontId="11" fillId="7" borderId="4" xfId="4" applyNumberFormat="1" applyFont="1" applyFill="1" applyBorder="1"/>
    <xf numFmtId="0" fontId="11" fillId="0" borderId="2" xfId="4" applyFont="1" applyBorder="1" applyAlignment="1" applyProtection="1">
      <alignment horizontal="center"/>
      <protection locked="0"/>
    </xf>
    <xf numFmtId="0" fontId="11" fillId="0" borderId="4" xfId="4" applyFont="1" applyBorder="1" applyProtection="1">
      <protection locked="0"/>
    </xf>
    <xf numFmtId="0" fontId="11" fillId="0" borderId="51" xfId="4" applyFont="1" applyBorder="1"/>
    <xf numFmtId="3" fontId="1" fillId="0" borderId="2" xfId="4" applyNumberFormat="1" applyBorder="1" applyAlignment="1" applyProtection="1">
      <alignment horizontal="center"/>
      <protection locked="0"/>
    </xf>
    <xf numFmtId="166" fontId="7" fillId="7" borderId="3" xfId="7" applyNumberFormat="1" applyFont="1" applyFill="1" applyBorder="1" applyAlignment="1" applyProtection="1">
      <alignment horizontal="right" vertical="top" wrapText="1"/>
    </xf>
    <xf numFmtId="3" fontId="22" fillId="0" borderId="3" xfId="7" applyNumberFormat="1" applyFont="1" applyFill="1" applyBorder="1" applyAlignment="1" applyProtection="1">
      <alignment horizontal="center"/>
      <protection locked="0"/>
    </xf>
    <xf numFmtId="3" fontId="7" fillId="0" borderId="3" xfId="7" applyNumberFormat="1" applyFont="1" applyFill="1" applyBorder="1" applyAlignment="1" applyProtection="1">
      <alignment horizontal="right" vertical="top" wrapText="1"/>
      <protection locked="0"/>
    </xf>
    <xf numFmtId="3" fontId="7" fillId="0" borderId="3" xfId="7" applyNumberFormat="1" applyFont="1" applyFill="1" applyBorder="1" applyAlignment="1" applyProtection="1">
      <alignment horizontal="right" vertical="top" wrapText="1"/>
    </xf>
    <xf numFmtId="3" fontId="17" fillId="0" borderId="3" xfId="7" applyNumberFormat="1" applyFont="1" applyFill="1" applyBorder="1" applyAlignment="1" applyProtection="1">
      <alignment horizontal="center"/>
      <protection locked="0"/>
    </xf>
    <xf numFmtId="166" fontId="7" fillId="7" borderId="10" xfId="7" applyNumberFormat="1" applyFont="1" applyFill="1" applyBorder="1" applyAlignment="1" applyProtection="1">
      <alignment horizontal="right" vertical="top" wrapText="1"/>
    </xf>
    <xf numFmtId="3" fontId="7" fillId="0" borderId="3" xfId="7" applyNumberFormat="1" applyFont="1" applyFill="1" applyBorder="1" applyAlignment="1" applyProtection="1">
      <alignment horizontal="center" vertical="top" wrapText="1"/>
    </xf>
    <xf numFmtId="166" fontId="7" fillId="7" borderId="4" xfId="7" applyNumberFormat="1" applyFont="1" applyFill="1" applyBorder="1" applyAlignment="1" applyProtection="1">
      <alignment horizontal="right" vertical="top" wrapText="1"/>
    </xf>
    <xf numFmtId="4" fontId="11" fillId="0" borderId="51" xfId="4" applyNumberFormat="1" applyFont="1" applyBorder="1"/>
    <xf numFmtId="167" fontId="7" fillId="9" borderId="2" xfId="7" applyNumberFormat="1" applyFont="1" applyFill="1" applyBorder="1" applyAlignment="1" applyProtection="1">
      <alignment horizontal="right" vertical="top" wrapText="1"/>
    </xf>
    <xf numFmtId="167" fontId="7" fillId="9" borderId="3" xfId="7" applyNumberFormat="1" applyFont="1" applyFill="1" applyBorder="1" applyAlignment="1" applyProtection="1">
      <alignment horizontal="right" vertical="top" wrapText="1"/>
    </xf>
    <xf numFmtId="167" fontId="7" fillId="9" borderId="4" xfId="7" applyNumberFormat="1" applyFont="1" applyFill="1" applyBorder="1" applyAlignment="1" applyProtection="1">
      <alignment horizontal="right" vertical="top" wrapText="1"/>
    </xf>
    <xf numFmtId="167" fontId="7" fillId="0" borderId="0" xfId="7" applyNumberFormat="1" applyFont="1" applyFill="1" applyBorder="1" applyAlignment="1" applyProtection="1">
      <alignment horizontal="right" vertical="top" wrapText="1"/>
    </xf>
    <xf numFmtId="166" fontId="7" fillId="9" borderId="2" xfId="7" applyNumberFormat="1" applyFont="1" applyFill="1" applyBorder="1" applyAlignment="1" applyProtection="1">
      <alignment horizontal="right" vertical="top" wrapText="1"/>
    </xf>
    <xf numFmtId="166" fontId="7" fillId="9" borderId="3" xfId="7" applyNumberFormat="1" applyFont="1" applyFill="1" applyBorder="1" applyAlignment="1" applyProtection="1">
      <alignment horizontal="right" vertical="top" wrapText="1"/>
    </xf>
    <xf numFmtId="166" fontId="7" fillId="9" borderId="4" xfId="7" applyNumberFormat="1" applyFont="1" applyFill="1" applyBorder="1" applyAlignment="1" applyProtection="1">
      <alignment horizontal="right" vertical="top" wrapText="1"/>
    </xf>
    <xf numFmtId="166" fontId="20" fillId="7" borderId="2" xfId="7" applyNumberFormat="1" applyFont="1" applyFill="1" applyBorder="1" applyAlignment="1" applyProtection="1">
      <alignment horizontal="right" vertical="top" wrapText="1"/>
    </xf>
    <xf numFmtId="166" fontId="20" fillId="7" borderId="3" xfId="7" applyNumberFormat="1" applyFont="1" applyFill="1" applyBorder="1" applyAlignment="1" applyProtection="1">
      <alignment horizontal="right" vertical="top" wrapText="1"/>
    </xf>
    <xf numFmtId="166" fontId="20" fillId="7" borderId="4" xfId="7" applyNumberFormat="1" applyFont="1" applyFill="1" applyBorder="1" applyAlignment="1" applyProtection="1">
      <alignment horizontal="right" vertical="top" wrapText="1"/>
    </xf>
    <xf numFmtId="10" fontId="11" fillId="0" borderId="17" xfId="4" applyNumberFormat="1" applyFont="1" applyBorder="1"/>
    <xf numFmtId="10" fontId="11" fillId="0" borderId="12" xfId="4" applyNumberFormat="1" applyFont="1" applyBorder="1"/>
    <xf numFmtId="1" fontId="11" fillId="0" borderId="13" xfId="4" applyNumberFormat="1" applyFont="1" applyBorder="1" applyAlignment="1" applyProtection="1">
      <alignment horizontal="left"/>
      <protection locked="0"/>
    </xf>
    <xf numFmtId="0" fontId="20" fillId="0" borderId="12" xfId="4" applyFont="1" applyBorder="1" applyAlignment="1" applyProtection="1">
      <alignment horizontal="left" vertical="center"/>
      <protection locked="0"/>
    </xf>
    <xf numFmtId="1" fontId="7" fillId="7" borderId="12" xfId="7" applyNumberFormat="1" applyFont="1" applyFill="1" applyBorder="1" applyAlignment="1" applyProtection="1">
      <alignment horizontal="right" vertical="top" wrapText="1"/>
    </xf>
    <xf numFmtId="166" fontId="7" fillId="0" borderId="12" xfId="0" applyNumberFormat="1" applyFont="1" applyBorder="1"/>
    <xf numFmtId="3" fontId="11" fillId="7" borderId="14" xfId="4" applyNumberFormat="1" applyFont="1" applyFill="1" applyBorder="1"/>
    <xf numFmtId="0" fontId="11" fillId="0" borderId="13" xfId="4" applyFont="1" applyBorder="1" applyAlignment="1" applyProtection="1">
      <alignment horizontal="center"/>
      <protection locked="0"/>
    </xf>
    <xf numFmtId="0" fontId="11" fillId="0" borderId="14" xfId="4" applyFont="1" applyBorder="1" applyProtection="1">
      <protection locked="0"/>
    </xf>
    <xf numFmtId="3" fontId="1" fillId="0" borderId="13" xfId="4" applyNumberFormat="1" applyBorder="1" applyAlignment="1" applyProtection="1">
      <alignment horizontal="center"/>
      <protection locked="0"/>
    </xf>
    <xf numFmtId="166" fontId="7" fillId="7" borderId="12" xfId="7" applyNumberFormat="1" applyFont="1" applyFill="1" applyBorder="1" applyAlignment="1" applyProtection="1">
      <alignment horizontal="right" vertical="top" wrapText="1"/>
    </xf>
    <xf numFmtId="3" fontId="22" fillId="0" borderId="12" xfId="7" applyNumberFormat="1" applyFont="1" applyFill="1" applyBorder="1" applyAlignment="1" applyProtection="1">
      <alignment horizontal="center"/>
      <protection locked="0"/>
    </xf>
    <xf numFmtId="3" fontId="7" fillId="0" borderId="12" xfId="7" applyNumberFormat="1" applyFont="1" applyFill="1" applyBorder="1" applyAlignment="1" applyProtection="1">
      <alignment horizontal="right" vertical="top" wrapText="1"/>
      <protection locked="0"/>
    </xf>
    <xf numFmtId="3" fontId="7" fillId="0" borderId="12" xfId="7" applyNumberFormat="1" applyFont="1" applyFill="1" applyBorder="1" applyAlignment="1" applyProtection="1">
      <alignment horizontal="right" vertical="top" wrapText="1"/>
    </xf>
    <xf numFmtId="3" fontId="17" fillId="0" borderId="12" xfId="7" applyNumberFormat="1" applyFont="1" applyFill="1" applyBorder="1" applyAlignment="1" applyProtection="1">
      <alignment horizontal="center"/>
      <protection locked="0"/>
    </xf>
    <xf numFmtId="3" fontId="7" fillId="0" borderId="12" xfId="7" applyNumberFormat="1" applyFont="1" applyFill="1" applyBorder="1" applyAlignment="1" applyProtection="1">
      <alignment horizontal="center" vertical="top" wrapText="1"/>
    </xf>
    <xf numFmtId="166" fontId="7" fillId="7" borderId="14" xfId="7" applyNumberFormat="1" applyFont="1" applyFill="1" applyBorder="1" applyAlignment="1" applyProtection="1">
      <alignment horizontal="right" vertical="top" wrapText="1"/>
    </xf>
    <xf numFmtId="166" fontId="7" fillId="9" borderId="13" xfId="7" applyNumberFormat="1" applyFont="1" applyFill="1" applyBorder="1" applyAlignment="1" applyProtection="1">
      <alignment horizontal="right" vertical="top" wrapText="1"/>
    </xf>
    <xf numFmtId="166" fontId="7" fillId="9" borderId="12" xfId="7" applyNumberFormat="1" applyFont="1" applyFill="1" applyBorder="1" applyAlignment="1" applyProtection="1">
      <alignment horizontal="right" vertical="top" wrapText="1"/>
    </xf>
    <xf numFmtId="166" fontId="7" fillId="9" borderId="14" xfId="7" applyNumberFormat="1" applyFont="1" applyFill="1" applyBorder="1" applyAlignment="1" applyProtection="1">
      <alignment horizontal="right" vertical="top" wrapText="1"/>
    </xf>
    <xf numFmtId="166" fontId="20" fillId="7" borderId="13" xfId="7" applyNumberFormat="1" applyFont="1" applyFill="1" applyBorder="1" applyAlignment="1" applyProtection="1">
      <alignment horizontal="right" vertical="top" wrapText="1"/>
    </xf>
    <xf numFmtId="166" fontId="20" fillId="7" borderId="12" xfId="7" applyNumberFormat="1" applyFont="1" applyFill="1" applyBorder="1" applyAlignment="1" applyProtection="1">
      <alignment horizontal="right" vertical="top" wrapText="1"/>
    </xf>
    <xf numFmtId="166" fontId="20" fillId="7" borderId="14" xfId="7" applyNumberFormat="1" applyFont="1" applyFill="1" applyBorder="1" applyAlignment="1" applyProtection="1">
      <alignment horizontal="right" vertical="top" wrapText="1"/>
    </xf>
    <xf numFmtId="10" fontId="2" fillId="0" borderId="17" xfId="4" applyNumberFormat="1" applyFont="1" applyBorder="1"/>
    <xf numFmtId="10" fontId="2" fillId="0" borderId="12" xfId="4" applyNumberFormat="1" applyFont="1" applyBorder="1"/>
    <xf numFmtId="3" fontId="7" fillId="0" borderId="12" xfId="7" applyNumberFormat="1" applyFont="1" applyFill="1" applyBorder="1" applyAlignment="1" applyProtection="1">
      <alignment horizontal="center"/>
      <protection locked="0"/>
    </xf>
    <xf numFmtId="3" fontId="1" fillId="0" borderId="12" xfId="4" applyNumberFormat="1" applyBorder="1" applyAlignment="1" applyProtection="1">
      <alignment horizontal="center"/>
      <protection locked="0"/>
    </xf>
    <xf numFmtId="3" fontId="0" fillId="0" borderId="12" xfId="7" applyNumberFormat="1" applyFont="1" applyFill="1" applyBorder="1" applyAlignment="1" applyProtection="1">
      <alignment horizontal="center"/>
      <protection locked="0"/>
    </xf>
    <xf numFmtId="10" fontId="2" fillId="0" borderId="22" xfId="4" applyNumberFormat="1" applyFont="1" applyBorder="1"/>
    <xf numFmtId="10" fontId="11" fillId="0" borderId="21" xfId="4" applyNumberFormat="1" applyFont="1" applyBorder="1"/>
    <xf numFmtId="168" fontId="11" fillId="0" borderId="0" xfId="5" applyNumberFormat="1" applyFont="1" applyFill="1" applyBorder="1" applyProtection="1"/>
    <xf numFmtId="10" fontId="11" fillId="0" borderId="0" xfId="4" applyNumberFormat="1" applyFont="1"/>
    <xf numFmtId="1" fontId="11" fillId="6" borderId="13" xfId="4" applyNumberFormat="1" applyFont="1" applyFill="1" applyBorder="1" applyAlignment="1" applyProtection="1">
      <alignment horizontal="left"/>
      <protection locked="0"/>
    </xf>
    <xf numFmtId="0" fontId="20" fillId="6" borderId="12" xfId="4" applyFont="1" applyFill="1" applyBorder="1" applyAlignment="1" applyProtection="1">
      <alignment horizontal="left" vertical="center"/>
      <protection locked="0"/>
    </xf>
    <xf numFmtId="166" fontId="7" fillId="6" borderId="12" xfId="7" applyNumberFormat="1" applyFont="1" applyFill="1" applyBorder="1" applyAlignment="1" applyProtection="1">
      <alignment horizontal="right" vertical="top" wrapText="1"/>
      <protection locked="0"/>
    </xf>
    <xf numFmtId="0" fontId="11" fillId="6" borderId="13" xfId="4" applyFont="1" applyFill="1" applyBorder="1" applyAlignment="1" applyProtection="1">
      <alignment horizontal="center"/>
      <protection locked="0"/>
    </xf>
    <xf numFmtId="0" fontId="11" fillId="6" borderId="14" xfId="4" applyFont="1" applyFill="1" applyBorder="1" applyProtection="1">
      <protection locked="0"/>
    </xf>
    <xf numFmtId="0" fontId="11" fillId="6" borderId="51" xfId="4" applyFont="1" applyFill="1" applyBorder="1"/>
    <xf numFmtId="3" fontId="1" fillId="6" borderId="13" xfId="4" applyNumberFormat="1" applyFill="1" applyBorder="1" applyAlignment="1" applyProtection="1">
      <alignment horizontal="center"/>
      <protection locked="0"/>
    </xf>
    <xf numFmtId="3" fontId="0" fillId="6" borderId="12" xfId="7" applyNumberFormat="1" applyFont="1" applyFill="1" applyBorder="1" applyAlignment="1" applyProtection="1">
      <alignment horizontal="center"/>
      <protection locked="0"/>
    </xf>
    <xf numFmtId="3" fontId="7" fillId="6" borderId="12" xfId="7" applyNumberFormat="1" applyFont="1" applyFill="1" applyBorder="1" applyAlignment="1" applyProtection="1">
      <alignment horizontal="right" vertical="top" wrapText="1"/>
      <protection locked="0"/>
    </xf>
    <xf numFmtId="3" fontId="7" fillId="6" borderId="12" xfId="7" applyNumberFormat="1" applyFont="1" applyFill="1" applyBorder="1" applyAlignment="1" applyProtection="1">
      <alignment horizontal="right" vertical="top" wrapText="1"/>
    </xf>
    <xf numFmtId="3" fontId="7" fillId="6" borderId="12" xfId="7" applyNumberFormat="1" applyFont="1" applyFill="1" applyBorder="1" applyAlignment="1" applyProtection="1">
      <alignment horizontal="center" vertical="top" wrapText="1"/>
    </xf>
    <xf numFmtId="4" fontId="11" fillId="6" borderId="51" xfId="4" applyNumberFormat="1" applyFont="1" applyFill="1" applyBorder="1"/>
    <xf numFmtId="167" fontId="7" fillId="6" borderId="0" xfId="7" applyNumberFormat="1" applyFont="1" applyFill="1" applyBorder="1" applyAlignment="1" applyProtection="1">
      <alignment horizontal="right" vertical="top" wrapText="1"/>
    </xf>
    <xf numFmtId="10" fontId="1" fillId="0" borderId="0" xfId="4" applyNumberFormat="1"/>
    <xf numFmtId="3" fontId="7" fillId="0" borderId="12" xfId="4" applyNumberFormat="1" applyFont="1" applyBorder="1" applyAlignment="1" applyProtection="1">
      <alignment horizontal="center"/>
      <protection locked="0"/>
    </xf>
    <xf numFmtId="168" fontId="1" fillId="0" borderId="0" xfId="5" applyNumberFormat="1" applyFont="1" applyFill="1" applyBorder="1" applyProtection="1"/>
    <xf numFmtId="10" fontId="2" fillId="0" borderId="0" xfId="4" applyNumberFormat="1" applyFont="1"/>
    <xf numFmtId="168" fontId="2" fillId="0" borderId="0" xfId="5" applyNumberFormat="1" applyFont="1" applyFill="1" applyBorder="1" applyProtection="1"/>
    <xf numFmtId="0" fontId="20" fillId="0" borderId="12" xfId="4" applyFont="1" applyBorder="1" applyAlignment="1" applyProtection="1">
      <alignment horizontal="left"/>
      <protection locked="0"/>
    </xf>
    <xf numFmtId="166" fontId="7" fillId="0" borderId="12" xfId="7" applyNumberFormat="1" applyFont="1" applyFill="1" applyBorder="1" applyAlignment="1" applyProtection="1">
      <alignment horizontal="right" vertical="top" wrapText="1"/>
      <protection locked="0"/>
    </xf>
    <xf numFmtId="0" fontId="20" fillId="6" borderId="12" xfId="4" applyFont="1" applyFill="1" applyBorder="1" applyAlignment="1" applyProtection="1">
      <alignment horizontal="left"/>
      <protection locked="0"/>
    </xf>
    <xf numFmtId="9" fontId="11" fillId="0" borderId="0" xfId="5" applyFont="1" applyFill="1" applyBorder="1" applyProtection="1"/>
    <xf numFmtId="3" fontId="7" fillId="0" borderId="12" xfId="7" applyNumberFormat="1" applyFont="1" applyFill="1" applyBorder="1" applyAlignment="1" applyProtection="1">
      <alignment horizontal="center" vertical="top" wrapText="1"/>
      <protection locked="0"/>
    </xf>
    <xf numFmtId="166" fontId="0" fillId="0" borderId="12" xfId="0" applyNumberFormat="1" applyBorder="1"/>
    <xf numFmtId="3" fontId="22" fillId="0" borderId="12" xfId="4" applyNumberFormat="1" applyFont="1" applyBorder="1" applyAlignment="1" applyProtection="1">
      <alignment horizontal="center"/>
      <protection locked="0"/>
    </xf>
    <xf numFmtId="3" fontId="7" fillId="6" borderId="12" xfId="7" applyNumberFormat="1" applyFont="1" applyFill="1" applyBorder="1" applyAlignment="1" applyProtection="1">
      <alignment horizontal="center" vertical="top" wrapText="1"/>
      <protection locked="0"/>
    </xf>
    <xf numFmtId="1" fontId="20" fillId="0" borderId="12" xfId="4" applyNumberFormat="1" applyFont="1" applyBorder="1" applyProtection="1">
      <protection locked="0"/>
    </xf>
    <xf numFmtId="1" fontId="11" fillId="6" borderId="43" xfId="4" applyNumberFormat="1" applyFont="1" applyFill="1" applyBorder="1" applyAlignment="1" applyProtection="1">
      <alignment horizontal="left"/>
      <protection locked="0"/>
    </xf>
    <xf numFmtId="0" fontId="20" fillId="6" borderId="29" xfId="4" applyFont="1" applyFill="1" applyBorder="1" applyAlignment="1" applyProtection="1">
      <alignment horizontal="left" vertical="center"/>
      <protection locked="0"/>
    </xf>
    <xf numFmtId="1" fontId="7" fillId="7" borderId="29" xfId="7" applyNumberFormat="1" applyFont="1" applyFill="1" applyBorder="1" applyAlignment="1" applyProtection="1">
      <alignment horizontal="right" vertical="top" wrapText="1"/>
    </xf>
    <xf numFmtId="166" fontId="0" fillId="6" borderId="29" xfId="0" applyNumberFormat="1" applyFill="1" applyBorder="1"/>
    <xf numFmtId="3" fontId="11" fillId="7" borderId="41" xfId="4" applyNumberFormat="1" applyFont="1" applyFill="1" applyBorder="1"/>
    <xf numFmtId="0" fontId="11" fillId="6" borderId="43" xfId="4" applyFont="1" applyFill="1" applyBorder="1" applyAlignment="1" applyProtection="1">
      <alignment horizontal="center"/>
      <protection locked="0"/>
    </xf>
    <xf numFmtId="0" fontId="11" fillId="6" borderId="41" xfId="4" applyFont="1" applyFill="1" applyBorder="1" applyProtection="1">
      <protection locked="0"/>
    </xf>
    <xf numFmtId="3" fontId="1" fillId="6" borderId="43" xfId="4" applyNumberFormat="1" applyFill="1" applyBorder="1" applyAlignment="1" applyProtection="1">
      <alignment horizontal="center"/>
      <protection locked="0"/>
    </xf>
    <xf numFmtId="166" fontId="7" fillId="7" borderId="29" xfId="7" applyNumberFormat="1" applyFont="1" applyFill="1" applyBorder="1" applyAlignment="1" applyProtection="1">
      <alignment horizontal="right" vertical="top" wrapText="1"/>
    </xf>
    <xf numFmtId="3" fontId="0" fillId="6" borderId="29" xfId="7" applyNumberFormat="1" applyFont="1" applyFill="1" applyBorder="1" applyAlignment="1" applyProtection="1">
      <alignment horizontal="center"/>
      <protection locked="0"/>
    </xf>
    <xf numFmtId="3" fontId="7" fillId="6" borderId="29" xfId="7" applyNumberFormat="1" applyFont="1" applyFill="1" applyBorder="1" applyAlignment="1" applyProtection="1">
      <alignment horizontal="right" vertical="top" wrapText="1"/>
      <protection locked="0"/>
    </xf>
    <xf numFmtId="3" fontId="7" fillId="6" borderId="29" xfId="7" applyNumberFormat="1" applyFont="1" applyFill="1" applyBorder="1" applyAlignment="1" applyProtection="1">
      <alignment horizontal="right" vertical="top" wrapText="1"/>
    </xf>
    <xf numFmtId="3" fontId="17" fillId="6" borderId="29" xfId="7" applyNumberFormat="1" applyFont="1" applyFill="1" applyBorder="1" applyAlignment="1" applyProtection="1">
      <alignment horizontal="center"/>
      <protection locked="0"/>
    </xf>
    <xf numFmtId="3" fontId="7" fillId="6" borderId="29" xfId="7" applyNumberFormat="1" applyFont="1" applyFill="1" applyBorder="1" applyAlignment="1" applyProtection="1">
      <alignment horizontal="center" vertical="top" wrapText="1"/>
    </xf>
    <xf numFmtId="166" fontId="7" fillId="7" borderId="41" xfId="7" applyNumberFormat="1" applyFont="1" applyFill="1" applyBorder="1" applyAlignment="1" applyProtection="1">
      <alignment horizontal="right" vertical="top" wrapText="1"/>
    </xf>
    <xf numFmtId="166" fontId="7" fillId="9" borderId="43" xfId="7" applyNumberFormat="1" applyFont="1" applyFill="1" applyBorder="1" applyAlignment="1" applyProtection="1">
      <alignment horizontal="right" vertical="top" wrapText="1"/>
    </xf>
    <xf numFmtId="166" fontId="7" fillId="9" borderId="29" xfId="7" applyNumberFormat="1" applyFont="1" applyFill="1" applyBorder="1" applyAlignment="1" applyProtection="1">
      <alignment horizontal="right" vertical="top" wrapText="1"/>
    </xf>
    <xf numFmtId="166" fontId="7" fillId="9" borderId="41" xfId="7" applyNumberFormat="1" applyFont="1" applyFill="1" applyBorder="1" applyAlignment="1" applyProtection="1">
      <alignment horizontal="right" vertical="top" wrapText="1"/>
    </xf>
    <xf numFmtId="166" fontId="20" fillId="7" borderId="43" xfId="7" applyNumberFormat="1" applyFont="1" applyFill="1" applyBorder="1" applyAlignment="1" applyProtection="1">
      <alignment horizontal="right" vertical="top" wrapText="1"/>
    </xf>
    <xf numFmtId="166" fontId="20" fillId="7" borderId="29" xfId="7" applyNumberFormat="1" applyFont="1" applyFill="1" applyBorder="1" applyAlignment="1" applyProtection="1">
      <alignment horizontal="right" vertical="top" wrapText="1"/>
    </xf>
    <xf numFmtId="166" fontId="20" fillId="7" borderId="41" xfId="7" applyNumberFormat="1" applyFont="1" applyFill="1" applyBorder="1" applyAlignment="1" applyProtection="1">
      <alignment horizontal="right" vertical="top" wrapText="1"/>
    </xf>
    <xf numFmtId="0" fontId="11" fillId="6" borderId="14" xfId="4" applyFont="1" applyFill="1" applyBorder="1" applyAlignment="1" applyProtection="1">
      <alignment horizontal="center" vertical="center"/>
      <protection locked="0"/>
    </xf>
    <xf numFmtId="0" fontId="11" fillId="6" borderId="52" xfId="4" applyFont="1" applyFill="1" applyBorder="1"/>
    <xf numFmtId="4" fontId="11" fillId="6" borderId="52" xfId="4" applyNumberFormat="1" applyFont="1" applyFill="1" applyBorder="1"/>
    <xf numFmtId="167" fontId="7" fillId="6" borderId="21" xfId="7" applyNumberFormat="1" applyFont="1" applyFill="1" applyBorder="1" applyAlignment="1" applyProtection="1">
      <alignment horizontal="right" vertical="top" wrapText="1"/>
    </xf>
    <xf numFmtId="3" fontId="17" fillId="6" borderId="12" xfId="7" applyNumberFormat="1" applyFont="1" applyFill="1" applyBorder="1" applyAlignment="1" applyProtection="1">
      <alignment horizontal="center"/>
      <protection locked="0"/>
    </xf>
    <xf numFmtId="1" fontId="11" fillId="6" borderId="24" xfId="4" applyNumberFormat="1" applyFont="1" applyFill="1" applyBorder="1"/>
    <xf numFmtId="0" fontId="16" fillId="6" borderId="12" xfId="4" applyFont="1" applyFill="1" applyBorder="1" applyAlignment="1" applyProtection="1">
      <alignment horizontal="left" vertical="center"/>
      <protection locked="0"/>
    </xf>
    <xf numFmtId="0" fontId="17" fillId="0" borderId="12" xfId="4" applyFont="1" applyBorder="1" applyAlignment="1" applyProtection="1">
      <alignment horizontal="left"/>
      <protection locked="0"/>
    </xf>
    <xf numFmtId="0" fontId="11" fillId="0" borderId="14" xfId="4" applyFont="1" applyBorder="1" applyAlignment="1" applyProtection="1">
      <alignment horizontal="center" vertical="center"/>
      <protection locked="0"/>
    </xf>
    <xf numFmtId="0" fontId="29" fillId="6" borderId="12" xfId="0" applyFont="1" applyFill="1" applyBorder="1" applyAlignment="1">
      <alignment wrapText="1"/>
    </xf>
    <xf numFmtId="0" fontId="16" fillId="6" borderId="12" xfId="4" applyFont="1" applyFill="1" applyBorder="1" applyAlignment="1" applyProtection="1">
      <alignment horizontal="left"/>
      <protection locked="0"/>
    </xf>
    <xf numFmtId="0" fontId="11" fillId="0" borderId="14" xfId="4" applyFont="1" applyBorder="1" applyAlignment="1" applyProtection="1">
      <alignment horizontal="center"/>
      <protection locked="0"/>
    </xf>
    <xf numFmtId="0" fontId="20" fillId="0" borderId="49" xfId="4" applyFont="1" applyBorder="1" applyAlignment="1" applyProtection="1">
      <alignment horizontal="left"/>
      <protection locked="0"/>
    </xf>
    <xf numFmtId="1" fontId="7" fillId="7" borderId="49" xfId="7" applyNumberFormat="1" applyFont="1" applyFill="1" applyBorder="1" applyAlignment="1" applyProtection="1">
      <alignment horizontal="right" vertical="top" wrapText="1"/>
    </xf>
    <xf numFmtId="166" fontId="7" fillId="0" borderId="49" xfId="7" applyNumberFormat="1" applyFont="1" applyFill="1" applyBorder="1" applyAlignment="1" applyProtection="1">
      <alignment horizontal="right" vertical="top" wrapText="1"/>
      <protection locked="0"/>
    </xf>
    <xf numFmtId="3" fontId="11" fillId="7" borderId="53" xfId="4" applyNumberFormat="1" applyFont="1" applyFill="1" applyBorder="1"/>
    <xf numFmtId="0" fontId="11" fillId="0" borderId="48" xfId="4" applyFont="1" applyBorder="1" applyAlignment="1" applyProtection="1">
      <alignment horizontal="center"/>
      <protection locked="0"/>
    </xf>
    <xf numFmtId="0" fontId="11" fillId="0" borderId="53" xfId="4" applyFont="1" applyBorder="1" applyAlignment="1" applyProtection="1">
      <alignment horizontal="center"/>
      <protection locked="0"/>
    </xf>
    <xf numFmtId="0" fontId="11" fillId="0" borderId="54" xfId="4" applyFont="1" applyBorder="1"/>
    <xf numFmtId="3" fontId="1" fillId="0" borderId="48" xfId="4" applyNumberFormat="1" applyBorder="1" applyAlignment="1" applyProtection="1">
      <alignment horizontal="center"/>
      <protection locked="0"/>
    </xf>
    <xf numFmtId="166" fontId="7" fillId="7" borderId="49" xfId="7" applyNumberFormat="1" applyFont="1" applyFill="1" applyBorder="1" applyAlignment="1" applyProtection="1">
      <alignment horizontal="right" vertical="top" wrapText="1"/>
    </xf>
    <xf numFmtId="3" fontId="0" fillId="0" borderId="49" xfId="7" applyNumberFormat="1" applyFont="1" applyFill="1" applyBorder="1" applyAlignment="1" applyProtection="1">
      <alignment horizontal="center"/>
      <protection locked="0"/>
    </xf>
    <xf numFmtId="3" fontId="7" fillId="0" borderId="49" xfId="7" applyNumberFormat="1" applyFont="1" applyFill="1" applyBorder="1" applyAlignment="1" applyProtection="1">
      <alignment horizontal="right" vertical="top" wrapText="1"/>
      <protection locked="0"/>
    </xf>
    <xf numFmtId="3" fontId="7" fillId="0" borderId="49" xfId="7" applyNumberFormat="1" applyFont="1" applyFill="1" applyBorder="1" applyAlignment="1" applyProtection="1">
      <alignment horizontal="right" vertical="top" wrapText="1"/>
    </xf>
    <xf numFmtId="3" fontId="7" fillId="0" borderId="49" xfId="7" applyNumberFormat="1" applyFont="1" applyFill="1" applyBorder="1" applyAlignment="1" applyProtection="1">
      <alignment horizontal="center" vertical="top" wrapText="1"/>
    </xf>
    <xf numFmtId="166" fontId="7" fillId="7" borderId="53" xfId="7" applyNumberFormat="1" applyFont="1" applyFill="1" applyBorder="1" applyAlignment="1" applyProtection="1">
      <alignment horizontal="right" vertical="top" wrapText="1"/>
    </xf>
    <xf numFmtId="166" fontId="7" fillId="9" borderId="48" xfId="7" applyNumberFormat="1" applyFont="1" applyFill="1" applyBorder="1" applyAlignment="1" applyProtection="1">
      <alignment horizontal="right" vertical="top" wrapText="1"/>
    </xf>
    <xf numFmtId="166" fontId="7" fillId="9" borderId="49" xfId="7" applyNumberFormat="1" applyFont="1" applyFill="1" applyBorder="1" applyAlignment="1" applyProtection="1">
      <alignment horizontal="right" vertical="top" wrapText="1"/>
    </xf>
    <xf numFmtId="166" fontId="7" fillId="9" borderId="53" xfId="7" applyNumberFormat="1" applyFont="1" applyFill="1" applyBorder="1" applyAlignment="1" applyProtection="1">
      <alignment horizontal="right" vertical="top" wrapText="1"/>
    </xf>
    <xf numFmtId="167" fontId="7" fillId="0" borderId="54" xfId="7" applyNumberFormat="1" applyFont="1" applyFill="1" applyBorder="1" applyAlignment="1" applyProtection="1">
      <alignment horizontal="right" vertical="top" wrapText="1"/>
    </xf>
    <xf numFmtId="167" fontId="7" fillId="0" borderId="32" xfId="7" applyNumberFormat="1" applyFont="1" applyFill="1" applyBorder="1" applyAlignment="1" applyProtection="1">
      <alignment horizontal="right" vertical="top" wrapText="1"/>
    </xf>
    <xf numFmtId="166" fontId="20" fillId="7" borderId="48" xfId="7" applyNumberFormat="1" applyFont="1" applyFill="1" applyBorder="1" applyAlignment="1" applyProtection="1">
      <alignment horizontal="right" vertical="top" wrapText="1"/>
    </xf>
    <xf numFmtId="166" fontId="20" fillId="7" borderId="49" xfId="7" applyNumberFormat="1" applyFont="1" applyFill="1" applyBorder="1" applyAlignment="1" applyProtection="1">
      <alignment horizontal="right" vertical="top" wrapText="1"/>
    </xf>
    <xf numFmtId="166" fontId="20" fillId="7" borderId="53" xfId="7" applyNumberFormat="1" applyFont="1" applyFill="1" applyBorder="1" applyAlignment="1" applyProtection="1">
      <alignment horizontal="right" vertical="top" wrapText="1"/>
    </xf>
    <xf numFmtId="3" fontId="11" fillId="0" borderId="0" xfId="4" applyNumberFormat="1" applyFont="1"/>
    <xf numFmtId="3" fontId="11" fillId="0" borderId="11" xfId="4" applyNumberFormat="1" applyFont="1" applyBorder="1" applyAlignment="1">
      <alignment horizontal="left"/>
    </xf>
    <xf numFmtId="3" fontId="28" fillId="3" borderId="16" xfId="4" applyNumberFormat="1" applyFont="1" applyFill="1" applyBorder="1" applyAlignment="1">
      <alignment horizontal="right"/>
    </xf>
    <xf numFmtId="3" fontId="15" fillId="3" borderId="1" xfId="4" applyNumberFormat="1" applyFont="1" applyFill="1" applyBorder="1" applyAlignment="1">
      <alignment horizontal="right"/>
    </xf>
    <xf numFmtId="3" fontId="11" fillId="3" borderId="1" xfId="4" applyNumberFormat="1" applyFont="1" applyFill="1" applyBorder="1"/>
    <xf numFmtId="3" fontId="2" fillId="3" borderId="1" xfId="4" applyNumberFormat="1" applyFont="1" applyFill="1" applyBorder="1"/>
    <xf numFmtId="3" fontId="15" fillId="3" borderId="1" xfId="4" applyNumberFormat="1" applyFont="1" applyFill="1" applyBorder="1"/>
    <xf numFmtId="3" fontId="11" fillId="3" borderId="1" xfId="4" applyNumberFormat="1" applyFont="1" applyFill="1" applyBorder="1" applyAlignment="1">
      <alignment horizontal="center"/>
    </xf>
    <xf numFmtId="3" fontId="11" fillId="3" borderId="55" xfId="4" applyNumberFormat="1" applyFont="1" applyFill="1" applyBorder="1"/>
    <xf numFmtId="3" fontId="2" fillId="3" borderId="55" xfId="4" applyNumberFormat="1" applyFont="1" applyFill="1" applyBorder="1"/>
    <xf numFmtId="3" fontId="2" fillId="3" borderId="19" xfId="4" applyNumberFormat="1" applyFont="1" applyFill="1" applyBorder="1"/>
    <xf numFmtId="3" fontId="30" fillId="0" borderId="0" xfId="4" applyNumberFormat="1" applyFont="1"/>
    <xf numFmtId="3" fontId="11" fillId="0" borderId="0" xfId="4" applyNumberFormat="1" applyFont="1" applyAlignment="1">
      <alignment horizontal="left"/>
    </xf>
    <xf numFmtId="3" fontId="31" fillId="7" borderId="25" xfId="4" applyNumberFormat="1" applyFont="1" applyFill="1" applyBorder="1" applyAlignment="1">
      <alignment horizontal="right"/>
    </xf>
    <xf numFmtId="3" fontId="32" fillId="7" borderId="0" xfId="4" applyNumberFormat="1" applyFont="1" applyFill="1" applyAlignment="1">
      <alignment horizontal="right"/>
    </xf>
    <xf numFmtId="3" fontId="30" fillId="7" borderId="0" xfId="4" applyNumberFormat="1" applyFont="1" applyFill="1"/>
    <xf numFmtId="3" fontId="30" fillId="7" borderId="0" xfId="4" applyNumberFormat="1" applyFont="1" applyFill="1" applyAlignment="1">
      <alignment horizontal="right"/>
    </xf>
    <xf numFmtId="3" fontId="32" fillId="7" borderId="0" xfId="4" applyNumberFormat="1" applyFont="1" applyFill="1"/>
    <xf numFmtId="3" fontId="30" fillId="7" borderId="0" xfId="4" applyNumberFormat="1" applyFont="1" applyFill="1" applyAlignment="1">
      <alignment horizontal="center"/>
    </xf>
    <xf numFmtId="3" fontId="30" fillId="7" borderId="24" xfId="4" applyNumberFormat="1" applyFont="1" applyFill="1" applyBorder="1"/>
    <xf numFmtId="3" fontId="30" fillId="7" borderId="1" xfId="4" applyNumberFormat="1" applyFont="1" applyFill="1" applyBorder="1" applyAlignment="1">
      <alignment horizontal="right"/>
    </xf>
    <xf numFmtId="3" fontId="20" fillId="2" borderId="42" xfId="4" applyNumberFormat="1" applyFont="1" applyFill="1" applyBorder="1" applyAlignment="1">
      <alignment horizontal="right"/>
    </xf>
    <xf numFmtId="3" fontId="11" fillId="2" borderId="56" xfId="4" applyNumberFormat="1" applyFont="1" applyFill="1" applyBorder="1" applyAlignment="1">
      <alignment horizontal="center"/>
    </xf>
    <xf numFmtId="3" fontId="15" fillId="2" borderId="56" xfId="4" applyNumberFormat="1" applyFont="1" applyFill="1" applyBorder="1" applyAlignment="1">
      <alignment horizontal="right"/>
    </xf>
    <xf numFmtId="3" fontId="15" fillId="2" borderId="56" xfId="4" applyNumberFormat="1" applyFont="1" applyFill="1" applyBorder="1"/>
    <xf numFmtId="3" fontId="2" fillId="2" borderId="56" xfId="4" applyNumberFormat="1" applyFont="1" applyFill="1" applyBorder="1"/>
    <xf numFmtId="3" fontId="11" fillId="2" borderId="56" xfId="4" applyNumberFormat="1" applyFont="1" applyFill="1" applyBorder="1"/>
    <xf numFmtId="3" fontId="11" fillId="2" borderId="57" xfId="4" applyNumberFormat="1" applyFont="1" applyFill="1" applyBorder="1"/>
    <xf numFmtId="3" fontId="28" fillId="3" borderId="42" xfId="4" applyNumberFormat="1" applyFont="1" applyFill="1" applyBorder="1" applyAlignment="1">
      <alignment horizontal="right"/>
    </xf>
    <xf numFmtId="3" fontId="2" fillId="3" borderId="56" xfId="4" applyNumberFormat="1" applyFont="1" applyFill="1" applyBorder="1"/>
    <xf numFmtId="3" fontId="11" fillId="3" borderId="56" xfId="4" applyNumberFormat="1" applyFont="1" applyFill="1" applyBorder="1"/>
    <xf numFmtId="3" fontId="2" fillId="3" borderId="57" xfId="4" applyNumberFormat="1" applyFont="1" applyFill="1" applyBorder="1"/>
    <xf numFmtId="3" fontId="15" fillId="2" borderId="56" xfId="4" applyNumberFormat="1" applyFont="1" applyFill="1" applyBorder="1" applyAlignment="1">
      <alignment horizontal="center"/>
    </xf>
    <xf numFmtId="3" fontId="28" fillId="3" borderId="32" xfId="4" applyNumberFormat="1" applyFont="1" applyFill="1" applyBorder="1" applyAlignment="1">
      <alignment horizontal="right"/>
    </xf>
    <xf numFmtId="3" fontId="2" fillId="3" borderId="33" xfId="4" applyNumberFormat="1" applyFont="1" applyFill="1" applyBorder="1"/>
    <xf numFmtId="3" fontId="11" fillId="3" borderId="33" xfId="4" applyNumberFormat="1" applyFont="1" applyFill="1" applyBorder="1"/>
    <xf numFmtId="3" fontId="11" fillId="3" borderId="34" xfId="4" applyNumberFormat="1" applyFont="1" applyFill="1" applyBorder="1"/>
    <xf numFmtId="1" fontId="11" fillId="0" borderId="0" xfId="4" applyNumberFormat="1" applyFont="1"/>
    <xf numFmtId="1" fontId="11" fillId="0" borderId="0" xfId="4" applyNumberFormat="1" applyFont="1" applyAlignment="1">
      <alignment horizontal="left"/>
    </xf>
    <xf numFmtId="0" fontId="20" fillId="2" borderId="47" xfId="4" applyFont="1" applyFill="1" applyBorder="1" applyAlignment="1">
      <alignment horizontal="right"/>
    </xf>
    <xf numFmtId="9" fontId="11" fillId="2" borderId="5" xfId="4" applyNumberFormat="1" applyFont="1" applyFill="1" applyBorder="1"/>
    <xf numFmtId="0" fontId="11" fillId="2" borderId="1" xfId="4" applyFont="1" applyFill="1" applyBorder="1"/>
    <xf numFmtId="3" fontId="2" fillId="2" borderId="19" xfId="4" applyNumberFormat="1" applyFont="1" applyFill="1" applyBorder="1"/>
    <xf numFmtId="0" fontId="28" fillId="3" borderId="58" xfId="4" applyFont="1" applyFill="1" applyBorder="1" applyAlignment="1">
      <alignment horizontal="right"/>
    </xf>
    <xf numFmtId="0" fontId="15" fillId="3" borderId="33" xfId="4" applyFont="1" applyFill="1" applyBorder="1" applyAlignment="1">
      <alignment horizontal="right"/>
    </xf>
    <xf numFmtId="0" fontId="11" fillId="3" borderId="33" xfId="4" applyFont="1" applyFill="1" applyBorder="1"/>
    <xf numFmtId="3" fontId="2" fillId="3" borderId="34" xfId="4" applyNumberFormat="1" applyFont="1" applyFill="1" applyBorder="1"/>
    <xf numFmtId="4" fontId="11" fillId="0" borderId="0" xfId="4" applyNumberFormat="1" applyFont="1"/>
    <xf numFmtId="43" fontId="16" fillId="0" borderId="0" xfId="1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  <xf numFmtId="43" fontId="16" fillId="0" borderId="13" xfId="1" applyFont="1" applyFill="1" applyBorder="1" applyAlignment="1">
      <alignment horizontal="center" vertical="center" wrapText="1"/>
    </xf>
    <xf numFmtId="3" fontId="17" fillId="0" borderId="41" xfId="2" applyNumberFormat="1" applyFont="1" applyBorder="1" applyAlignment="1">
      <alignment horizontal="right" vertical="center" wrapText="1"/>
    </xf>
    <xf numFmtId="3" fontId="28" fillId="2" borderId="56" xfId="4" applyNumberFormat="1" applyFont="1" applyFill="1" applyBorder="1"/>
    <xf numFmtId="3" fontId="1" fillId="0" borderId="0" xfId="2" applyNumberFormat="1" applyFont="1"/>
    <xf numFmtId="3" fontId="7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/>
    </xf>
    <xf numFmtId="0" fontId="17" fillId="0" borderId="0" xfId="2" quotePrefix="1" applyFont="1"/>
    <xf numFmtId="10" fontId="1" fillId="0" borderId="12" xfId="8" applyNumberFormat="1" applyFont="1" applyBorder="1"/>
    <xf numFmtId="10" fontId="1" fillId="5" borderId="12" xfId="8" applyNumberFormat="1" applyFont="1" applyFill="1" applyBorder="1"/>
    <xf numFmtId="10" fontId="11" fillId="0" borderId="12" xfId="8" applyNumberFormat="1" applyFont="1" applyBorder="1"/>
    <xf numFmtId="10" fontId="2" fillId="0" borderId="12" xfId="8" applyNumberFormat="1" applyFont="1" applyBorder="1"/>
    <xf numFmtId="10" fontId="2" fillId="0" borderId="29" xfId="8" applyNumberFormat="1" applyFont="1" applyBorder="1"/>
    <xf numFmtId="10" fontId="11" fillId="0" borderId="21" xfId="8" applyNumberFormat="1" applyFont="1" applyBorder="1"/>
    <xf numFmtId="10" fontId="11" fillId="0" borderId="0" xfId="8" applyNumberFormat="1" applyFont="1" applyBorder="1"/>
    <xf numFmtId="10" fontId="1" fillId="0" borderId="0" xfId="8" applyNumberFormat="1" applyFont="1" applyBorder="1"/>
    <xf numFmtId="10" fontId="15" fillId="0" borderId="12" xfId="8" applyNumberFormat="1" applyFont="1" applyBorder="1"/>
    <xf numFmtId="10" fontId="15" fillId="0" borderId="0" xfId="8" applyNumberFormat="1" applyFont="1" applyBorder="1"/>
    <xf numFmtId="10" fontId="2" fillId="0" borderId="0" xfId="8" applyNumberFormat="1" applyFont="1" applyBorder="1"/>
    <xf numFmtId="3" fontId="6" fillId="3" borderId="4" xfId="2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3" fontId="6" fillId="3" borderId="59" xfId="2" applyNumberFormat="1" applyFont="1" applyFill="1" applyBorder="1" applyAlignment="1">
      <alignment horizontal="right" vertical="center" wrapText="1"/>
    </xf>
    <xf numFmtId="3" fontId="6" fillId="0" borderId="41" xfId="2" applyNumberFormat="1" applyFont="1" applyBorder="1" applyAlignment="1">
      <alignment horizontal="right" vertical="center" wrapText="1"/>
    </xf>
    <xf numFmtId="3" fontId="6" fillId="3" borderId="53" xfId="2" applyNumberFormat="1" applyFont="1" applyFill="1" applyBorder="1" applyAlignment="1">
      <alignment horizontal="right" vertical="center" wrapText="1"/>
    </xf>
    <xf numFmtId="10" fontId="17" fillId="0" borderId="0" xfId="8" applyNumberFormat="1" applyFont="1" applyFill="1" applyBorder="1"/>
    <xf numFmtId="10" fontId="16" fillId="0" borderId="0" xfId="8" applyNumberFormat="1" applyFont="1" applyFill="1" applyBorder="1"/>
    <xf numFmtId="2" fontId="11" fillId="0" borderId="0" xfId="4" applyNumberFormat="1" applyFont="1"/>
    <xf numFmtId="166" fontId="11" fillId="0" borderId="0" xfId="4" applyNumberFormat="1" applyFont="1"/>
    <xf numFmtId="164" fontId="1" fillId="0" borderId="0" xfId="2" applyNumberFormat="1" applyFont="1"/>
    <xf numFmtId="3" fontId="6" fillId="0" borderId="0" xfId="2" applyNumberFormat="1" applyFont="1" applyAlignment="1">
      <alignment horizontal="right" vertical="center"/>
    </xf>
    <xf numFmtId="0" fontId="0" fillId="0" borderId="0" xfId="2" applyFont="1" applyAlignment="1">
      <alignment horizontal="left"/>
    </xf>
    <xf numFmtId="10" fontId="1" fillId="0" borderId="0" xfId="2" applyNumberFormat="1" applyFont="1"/>
    <xf numFmtId="3" fontId="1" fillId="0" borderId="0" xfId="2" quotePrefix="1" applyNumberFormat="1" applyFont="1"/>
    <xf numFmtId="2" fontId="1" fillId="0" borderId="0" xfId="2" applyNumberFormat="1" applyFont="1"/>
    <xf numFmtId="1" fontId="7" fillId="0" borderId="0" xfId="2" applyNumberFormat="1" applyFont="1" applyAlignment="1">
      <alignment horizontal="right" vertical="center" wrapText="1"/>
    </xf>
    <xf numFmtId="1" fontId="7" fillId="0" borderId="0" xfId="2" applyNumberFormat="1" applyFont="1" applyAlignment="1">
      <alignment vertical="center" wrapText="1"/>
    </xf>
    <xf numFmtId="3" fontId="16" fillId="2" borderId="14" xfId="2" applyNumberFormat="1" applyFont="1" applyFill="1" applyBorder="1" applyAlignment="1">
      <alignment horizontal="right" vertical="center" wrapText="1"/>
    </xf>
    <xf numFmtId="0" fontId="6" fillId="3" borderId="44" xfId="2" applyFont="1" applyFill="1" applyBorder="1" applyAlignment="1">
      <alignment horizontal="left" vertical="center" wrapText="1"/>
    </xf>
    <xf numFmtId="0" fontId="6" fillId="3" borderId="45" xfId="2" applyFont="1" applyFill="1" applyBorder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9" fillId="2" borderId="7" xfId="4" applyFont="1" applyFill="1" applyBorder="1" applyAlignment="1">
      <alignment horizontal="left" vertical="center" wrapText="1"/>
    </xf>
    <xf numFmtId="0" fontId="9" fillId="2" borderId="8" xfId="4" applyFont="1" applyFill="1" applyBorder="1" applyAlignment="1">
      <alignment horizontal="left" vertical="center"/>
    </xf>
    <xf numFmtId="0" fontId="9" fillId="2" borderId="16" xfId="4" applyFont="1" applyFill="1" applyBorder="1" applyAlignment="1">
      <alignment horizontal="left" vertical="center"/>
    </xf>
    <xf numFmtId="0" fontId="9" fillId="2" borderId="5" xfId="4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left" vertical="center" wrapText="1"/>
    </xf>
    <xf numFmtId="0" fontId="6" fillId="3" borderId="12" xfId="2" applyFont="1" applyFill="1" applyBorder="1" applyAlignment="1">
      <alignment horizontal="left" vertical="center" wrapText="1"/>
    </xf>
    <xf numFmtId="0" fontId="9" fillId="2" borderId="8" xfId="4" applyFont="1" applyFill="1" applyBorder="1" applyAlignment="1">
      <alignment horizontal="left" vertical="center" wrapText="1"/>
    </xf>
    <xf numFmtId="0" fontId="9" fillId="2" borderId="16" xfId="4" applyFont="1" applyFill="1" applyBorder="1" applyAlignment="1">
      <alignment horizontal="left" vertical="center" wrapText="1"/>
    </xf>
    <xf numFmtId="0" fontId="9" fillId="2" borderId="5" xfId="4" applyFont="1" applyFill="1" applyBorder="1" applyAlignment="1">
      <alignment horizontal="left" vertical="center" wrapText="1"/>
    </xf>
    <xf numFmtId="0" fontId="6" fillId="3" borderId="42" xfId="2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left" vertical="center" wrapText="1"/>
    </xf>
    <xf numFmtId="0" fontId="6" fillId="3" borderId="48" xfId="2" applyFont="1" applyFill="1" applyBorder="1" applyAlignment="1">
      <alignment horizontal="left" vertical="center" wrapText="1"/>
    </xf>
    <xf numFmtId="0" fontId="6" fillId="3" borderId="49" xfId="2" applyFont="1" applyFill="1" applyBorder="1" applyAlignment="1">
      <alignment horizontal="left" vertical="center" wrapText="1"/>
    </xf>
    <xf numFmtId="0" fontId="6" fillId="3" borderId="47" xfId="2" applyFont="1" applyFill="1" applyBorder="1" applyAlignment="1">
      <alignment horizontal="left" vertical="center" wrapText="1"/>
    </xf>
    <xf numFmtId="0" fontId="6" fillId="3" borderId="6" xfId="2" applyFont="1" applyFill="1" applyBorder="1" applyAlignment="1">
      <alignment horizontal="left" vertical="center" wrapText="1"/>
    </xf>
    <xf numFmtId="0" fontId="8" fillId="0" borderId="0" xfId="4" applyFont="1" applyAlignment="1">
      <alignment horizontal="left"/>
    </xf>
    <xf numFmtId="0" fontId="26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0" fontId="27" fillId="0" borderId="0" xfId="4" applyFont="1" applyAlignment="1">
      <alignment horizontal="left"/>
    </xf>
  </cellXfs>
  <cellStyles count="9">
    <cellStyle name="Comma" xfId="1" builtinId="3"/>
    <cellStyle name="Currency 2" xfId="7" xr:uid="{1A74D119-0981-4706-977C-58C43DE52D62}"/>
    <cellStyle name="Normaallaad 4 2" xfId="3" xr:uid="{76858FFC-3A70-4ABB-A600-1FF308D0ECFA}"/>
    <cellStyle name="Normal" xfId="0" builtinId="0"/>
    <cellStyle name="Normal 2 2" xfId="4" xr:uid="{036EFA83-8DF2-4FC0-B232-BF8DB53D3DDA}"/>
    <cellStyle name="Normal 3 2" xfId="6" xr:uid="{4D175DD1-CEA9-4D30-806E-E1B54ABA1B1A}"/>
    <cellStyle name="Normal 5" xfId="2" xr:uid="{C77CC47E-7017-48A4-B0C3-9220B2B443A0}"/>
    <cellStyle name="Percent" xfId="8" builtinId="5"/>
    <cellStyle name="Percent 2 2" xfId="5" xr:uid="{D8170718-DD4D-44D6-8735-B154A54180EF}"/>
  </cellStyles>
  <dxfs count="8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3FBA-B9AD-4462-BB71-1615BEFFC434}">
  <sheetPr codeName="Sheet58"/>
  <dimension ref="B1:AK368"/>
  <sheetViews>
    <sheetView zoomScale="85" zoomScaleNormal="85" workbookViewId="0">
      <selection activeCell="J40" sqref="J40"/>
    </sheetView>
  </sheetViews>
  <sheetFormatPr defaultColWidth="9.140625" defaultRowHeight="15" outlineLevelRow="1" x14ac:dyDescent="0.25"/>
  <cols>
    <col min="1" max="1" width="3.7109375" style="2" customWidth="1"/>
    <col min="2" max="2" width="8.7109375" style="2" bestFit="1" customWidth="1"/>
    <col min="3" max="3" width="71.140625" style="2" customWidth="1"/>
    <col min="4" max="4" width="18.42578125" style="3" customWidth="1"/>
    <col min="5" max="5" width="11.85546875" style="2" customWidth="1"/>
    <col min="6" max="6" width="12.42578125" style="2" customWidth="1"/>
    <col min="7" max="8" width="14.5703125" style="2" customWidth="1"/>
    <col min="9" max="9" width="41" style="2" bestFit="1" customWidth="1"/>
    <col min="10" max="10" width="12.42578125" style="2" customWidth="1"/>
    <col min="11" max="17" width="11.7109375" style="2" customWidth="1"/>
    <col min="18" max="19" width="12.5703125" style="2" customWidth="1"/>
    <col min="20" max="20" width="51" style="2" customWidth="1"/>
    <col min="21" max="21" width="18.5703125" style="2" customWidth="1"/>
    <col min="22" max="22" width="26.5703125" style="2" customWidth="1"/>
    <col min="23" max="23" width="24.7109375" style="2" customWidth="1"/>
    <col min="24" max="24" width="23" style="2" customWidth="1"/>
    <col min="25" max="25" width="9.140625" style="2" customWidth="1"/>
    <col min="26" max="26" width="9.7109375" style="2" customWidth="1"/>
    <col min="27" max="27" width="11.42578125" style="2" customWidth="1"/>
    <col min="28" max="28" width="14.85546875" style="2" customWidth="1"/>
    <col min="29" max="29" width="51" style="2" customWidth="1"/>
    <col min="30" max="30" width="18.5703125" style="2" customWidth="1"/>
    <col min="31" max="31" width="26.5703125" style="2" customWidth="1"/>
    <col min="32" max="32" width="24.7109375" style="2" customWidth="1"/>
    <col min="33" max="33" width="23" style="2" customWidth="1"/>
    <col min="34" max="34" width="9.140625" style="2"/>
    <col min="35" max="35" width="9.7109375" style="2" customWidth="1"/>
    <col min="36" max="16384" width="9.140625" style="2"/>
  </cols>
  <sheetData>
    <row r="1" spans="2:37" x14ac:dyDescent="0.25">
      <c r="B1" s="1"/>
      <c r="F1" s="4" t="s">
        <v>0</v>
      </c>
    </row>
    <row r="2" spans="2:37" x14ac:dyDescent="0.25">
      <c r="F2" s="5" t="s">
        <v>588</v>
      </c>
      <c r="W2" s="6"/>
    </row>
    <row r="4" spans="2:37" x14ac:dyDescent="0.25">
      <c r="B4" s="441" t="s">
        <v>1</v>
      </c>
      <c r="C4" s="441"/>
      <c r="D4" s="441"/>
      <c r="E4" s="441"/>
      <c r="F4" s="441"/>
      <c r="N4" s="7"/>
      <c r="T4" s="442"/>
      <c r="U4" s="442"/>
      <c r="V4" s="442"/>
      <c r="W4" s="442"/>
      <c r="X4" s="442"/>
      <c r="Y4" s="442"/>
      <c r="Z4" s="442"/>
      <c r="AA4" s="8"/>
    </row>
    <row r="5" spans="2:37" ht="15.75" x14ac:dyDescent="0.25">
      <c r="T5" s="443" t="s">
        <v>2</v>
      </c>
      <c r="U5" s="443"/>
      <c r="V5" s="443"/>
      <c r="W5" s="443"/>
      <c r="X5" s="443"/>
      <c r="Y5" s="443"/>
      <c r="Z5" s="443"/>
      <c r="AC5" s="443" t="s">
        <v>3</v>
      </c>
      <c r="AD5" s="443"/>
      <c r="AE5" s="443"/>
      <c r="AF5" s="443"/>
      <c r="AG5" s="443"/>
      <c r="AH5" s="443"/>
      <c r="AI5" s="443"/>
      <c r="AJ5" s="443"/>
      <c r="AK5" s="443"/>
    </row>
    <row r="6" spans="2:37" ht="15.75" thickBot="1" x14ac:dyDescent="0.3">
      <c r="B6" s="9"/>
      <c r="E6" s="10"/>
      <c r="F6" s="10"/>
    </row>
    <row r="7" spans="2:37" ht="45" customHeight="1" x14ac:dyDescent="0.25">
      <c r="B7" s="11" t="s">
        <v>4</v>
      </c>
      <c r="C7" s="12" t="s">
        <v>5</v>
      </c>
      <c r="D7" s="13" t="s">
        <v>6</v>
      </c>
      <c r="E7" s="14" t="s">
        <v>7</v>
      </c>
      <c r="F7" s="15" t="s">
        <v>8</v>
      </c>
      <c r="I7" s="444" t="s">
        <v>9</v>
      </c>
      <c r="J7" s="445"/>
      <c r="K7" s="16" t="s">
        <v>10</v>
      </c>
      <c r="L7" s="17" t="s">
        <v>11</v>
      </c>
      <c r="M7" s="16" t="s">
        <v>12</v>
      </c>
      <c r="N7" s="17" t="s">
        <v>13</v>
      </c>
      <c r="O7" s="16" t="s">
        <v>14</v>
      </c>
      <c r="P7" s="17" t="s">
        <v>15</v>
      </c>
      <c r="Q7" s="18"/>
      <c r="T7" s="19" t="s">
        <v>16</v>
      </c>
      <c r="U7" s="19" t="s">
        <v>17</v>
      </c>
      <c r="V7" s="19" t="s">
        <v>18</v>
      </c>
      <c r="W7" s="19" t="s">
        <v>19</v>
      </c>
      <c r="X7" s="19" t="s">
        <v>20</v>
      </c>
      <c r="Y7" s="19" t="s">
        <v>21</v>
      </c>
      <c r="Z7" s="19" t="s">
        <v>22</v>
      </c>
      <c r="AA7" s="20"/>
      <c r="AC7" s="19" t="s">
        <v>16</v>
      </c>
      <c r="AD7" s="19" t="s">
        <v>17</v>
      </c>
      <c r="AE7" s="19" t="s">
        <v>18</v>
      </c>
      <c r="AF7" s="19" t="s">
        <v>19</v>
      </c>
      <c r="AG7" s="19" t="s">
        <v>20</v>
      </c>
      <c r="AH7" s="19" t="s">
        <v>21</v>
      </c>
      <c r="AI7" s="19" t="s">
        <v>22</v>
      </c>
      <c r="AJ7" s="21" t="s">
        <v>23</v>
      </c>
      <c r="AK7" s="21" t="s">
        <v>24</v>
      </c>
    </row>
    <row r="8" spans="2:37" ht="14.25" customHeight="1" x14ac:dyDescent="0.25">
      <c r="B8" s="448" t="s">
        <v>25</v>
      </c>
      <c r="C8" s="449"/>
      <c r="D8" s="22">
        <f>SUM(D9+D11+D20+D23)</f>
        <v>273469.3</v>
      </c>
      <c r="E8" s="23"/>
      <c r="F8" s="24"/>
      <c r="I8" s="446"/>
      <c r="J8" s="447"/>
      <c r="K8" s="25">
        <f>Z8</f>
        <v>0.8145375816016267</v>
      </c>
      <c r="L8" s="26"/>
      <c r="M8" s="25">
        <f>Z9</f>
        <v>0.1854624183983733</v>
      </c>
      <c r="N8" s="26"/>
      <c r="O8" s="27">
        <f>Z10</f>
        <v>0</v>
      </c>
      <c r="P8" s="28"/>
      <c r="Q8" s="29"/>
      <c r="R8" s="430"/>
      <c r="T8" s="30" t="s">
        <v>26</v>
      </c>
      <c r="U8" s="31">
        <v>1534.5000000000005</v>
      </c>
      <c r="V8" s="32">
        <v>334.3</v>
      </c>
      <c r="W8" s="32">
        <v>377.99744318181831</v>
      </c>
      <c r="X8" s="32">
        <v>105.74999999999999</v>
      </c>
      <c r="Y8" s="32">
        <v>2352.5474431818188</v>
      </c>
      <c r="Z8" s="410">
        <v>0.8145375816016267</v>
      </c>
      <c r="AA8" s="33"/>
      <c r="AC8" s="30" t="s">
        <v>27</v>
      </c>
      <c r="AD8" s="31">
        <v>164.70000000000002</v>
      </c>
      <c r="AE8" s="32">
        <v>15.842761376208209</v>
      </c>
      <c r="AF8" s="32">
        <v>23.055857483558579</v>
      </c>
      <c r="AG8" s="32">
        <v>24.557356608478802</v>
      </c>
      <c r="AH8" s="32">
        <v>228.15597546824563</v>
      </c>
      <c r="AI8" s="410">
        <v>0.11447291930572757</v>
      </c>
      <c r="AJ8" s="34">
        <v>0</v>
      </c>
      <c r="AK8" s="411">
        <f>AJ8/$AJ$20</f>
        <v>0</v>
      </c>
    </row>
    <row r="9" spans="2:37" ht="15.75" x14ac:dyDescent="0.25">
      <c r="B9" s="35">
        <v>1</v>
      </c>
      <c r="C9" s="36" t="s">
        <v>28</v>
      </c>
      <c r="D9" s="37">
        <f>SUM(D10:D10)</f>
        <v>0</v>
      </c>
      <c r="E9" s="38"/>
      <c r="F9" s="39"/>
      <c r="I9" s="40" t="s">
        <v>29</v>
      </c>
      <c r="J9" s="41"/>
      <c r="K9" s="42"/>
      <c r="L9" s="43">
        <f>($Q$9*K8)+SUM(D332:D333)+D22</f>
        <v>5293858.3581183925</v>
      </c>
      <c r="M9" s="44"/>
      <c r="N9" s="43">
        <f>($Q$9*M8)+D22*M8</f>
        <v>1178803.8966728863</v>
      </c>
      <c r="O9" s="45"/>
      <c r="P9" s="43">
        <f>$Q$9*O8</f>
        <v>0</v>
      </c>
      <c r="Q9" s="46">
        <f>D346-D24</f>
        <v>6331025.6943313191</v>
      </c>
      <c r="R9" s="47"/>
      <c r="S9" s="406"/>
      <c r="T9" s="30" t="s">
        <v>30</v>
      </c>
      <c r="U9" s="31">
        <v>401.5</v>
      </c>
      <c r="V9" s="31">
        <v>0</v>
      </c>
      <c r="W9" s="31">
        <v>98.902556818181822</v>
      </c>
      <c r="X9" s="31">
        <v>35.25</v>
      </c>
      <c r="Y9" s="31">
        <v>535.65255681818189</v>
      </c>
      <c r="Z9" s="412">
        <v>0.1854624183983733</v>
      </c>
      <c r="AA9" s="33"/>
      <c r="AC9" s="30" t="s">
        <v>30</v>
      </c>
      <c r="AD9" s="31">
        <v>158.69999999999999</v>
      </c>
      <c r="AE9" s="31">
        <v>32.815761984869425</v>
      </c>
      <c r="AF9" s="31">
        <v>22.215935535159357</v>
      </c>
      <c r="AG9" s="31">
        <v>42.065648379052369</v>
      </c>
      <c r="AH9" s="31">
        <v>255.79734589908114</v>
      </c>
      <c r="AI9" s="412">
        <v>0.12834145095533647</v>
      </c>
      <c r="AJ9" s="31">
        <f>AH9</f>
        <v>255.79734589908114</v>
      </c>
      <c r="AK9" s="412">
        <f t="shared" ref="AK9:AK20" si="0">AJ9/$AJ$20</f>
        <v>0.14493227113361004</v>
      </c>
    </row>
    <row r="10" spans="2:37" ht="15.75" x14ac:dyDescent="0.25">
      <c r="B10" s="48"/>
      <c r="C10" s="49" t="s">
        <v>31</v>
      </c>
      <c r="D10" s="50" t="s">
        <v>32</v>
      </c>
      <c r="E10" s="51"/>
      <c r="F10" s="52"/>
      <c r="I10" s="53" t="s">
        <v>33</v>
      </c>
      <c r="J10" s="54"/>
      <c r="K10" s="55"/>
      <c r="L10" s="56">
        <f>$Q$10*K8</f>
        <v>102026.77821994944</v>
      </c>
      <c r="M10" s="57"/>
      <c r="N10" s="56">
        <f>$Q$10*M8</f>
        <v>23230.521780050563</v>
      </c>
      <c r="O10" s="58"/>
      <c r="P10" s="56">
        <f>$Q$10*O8</f>
        <v>0</v>
      </c>
      <c r="Q10" s="59">
        <f>D23</f>
        <v>125257.3</v>
      </c>
      <c r="R10" s="47"/>
      <c r="T10" s="60" t="s">
        <v>34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413">
        <v>0</v>
      </c>
      <c r="AA10" s="33"/>
      <c r="AC10" s="30" t="s">
        <v>35</v>
      </c>
      <c r="AD10" s="31">
        <v>270</v>
      </c>
      <c r="AE10" s="31">
        <v>16.974148061104582</v>
      </c>
      <c r="AF10" s="31">
        <v>37.796487677964876</v>
      </c>
      <c r="AG10" s="31">
        <v>0</v>
      </c>
      <c r="AH10" s="31">
        <v>324.77063573906946</v>
      </c>
      <c r="AI10" s="412">
        <v>0.16294748669864506</v>
      </c>
      <c r="AJ10" s="31">
        <f t="shared" ref="AJ10:AJ19" si="1">AH10</f>
        <v>324.77063573906946</v>
      </c>
      <c r="AK10" s="412">
        <f t="shared" si="0"/>
        <v>0.18401186169359235</v>
      </c>
    </row>
    <row r="11" spans="2:37" ht="15" customHeight="1" x14ac:dyDescent="0.25">
      <c r="B11" s="35">
        <v>2</v>
      </c>
      <c r="C11" s="36" t="s">
        <v>36</v>
      </c>
      <c r="D11" s="37">
        <f>SUM(D12:D19)</f>
        <v>113659</v>
      </c>
      <c r="E11" s="38"/>
      <c r="F11" s="39"/>
      <c r="I11" s="62" t="s">
        <v>37</v>
      </c>
      <c r="J11" s="63"/>
      <c r="K11" s="64"/>
      <c r="L11" s="65">
        <f>SUM(L9:L10)</f>
        <v>5395885.136338342</v>
      </c>
      <c r="M11" s="66"/>
      <c r="N11" s="65">
        <f>SUM(N9:N10)</f>
        <v>1202034.4184529369</v>
      </c>
      <c r="O11" s="67"/>
      <c r="P11" s="65">
        <f>SUM(P9:P10)</f>
        <v>0</v>
      </c>
      <c r="Q11" s="68">
        <f>SUM(Q9:Q10)</f>
        <v>6456282.9943313189</v>
      </c>
      <c r="R11" s="47"/>
      <c r="S11" s="406"/>
      <c r="T11" s="60" t="s">
        <v>38</v>
      </c>
      <c r="U11" s="61">
        <v>1936.0000000000005</v>
      </c>
      <c r="V11" s="61">
        <v>334.3</v>
      </c>
      <c r="W11" s="61">
        <v>476.90000000000015</v>
      </c>
      <c r="X11" s="61">
        <v>141</v>
      </c>
      <c r="Y11" s="61">
        <v>2888.2000000000007</v>
      </c>
      <c r="Z11" s="413">
        <v>1</v>
      </c>
      <c r="AA11" s="33"/>
      <c r="AC11" s="30" t="s">
        <v>39</v>
      </c>
      <c r="AD11" s="31">
        <v>19.600000000000001</v>
      </c>
      <c r="AE11" s="31">
        <v>5.7721487857362437</v>
      </c>
      <c r="AF11" s="31">
        <v>2.7437450314374505</v>
      </c>
      <c r="AG11" s="31">
        <v>0</v>
      </c>
      <c r="AH11" s="31">
        <v>28.115893817173692</v>
      </c>
      <c r="AI11" s="412">
        <v>1.4106614729403288E-2</v>
      </c>
      <c r="AJ11" s="31">
        <f t="shared" si="1"/>
        <v>28.115893817173692</v>
      </c>
      <c r="AK11" s="412">
        <f t="shared" si="0"/>
        <v>1.5930190094630866E-2</v>
      </c>
    </row>
    <row r="12" spans="2:37" ht="15.75" x14ac:dyDescent="0.25">
      <c r="B12" s="48"/>
      <c r="C12" s="49" t="s">
        <v>40</v>
      </c>
      <c r="D12" s="50">
        <v>50000</v>
      </c>
      <c r="E12" s="51"/>
      <c r="F12" s="52"/>
      <c r="I12" s="53" t="s">
        <v>41</v>
      </c>
      <c r="J12" s="69"/>
      <c r="K12" s="70"/>
      <c r="L12" s="56">
        <f>$Q$12*K8</f>
        <v>142201.99145035169</v>
      </c>
      <c r="M12" s="57"/>
      <c r="N12" s="56">
        <f>$Q$12*M8</f>
        <v>32378.033661245569</v>
      </c>
      <c r="O12" s="58"/>
      <c r="P12" s="56">
        <f>$Q$12*O8</f>
        <v>0</v>
      </c>
      <c r="Q12" s="59">
        <f>D351</f>
        <v>174580.02511159726</v>
      </c>
      <c r="R12" s="47"/>
      <c r="T12" s="71" t="s">
        <v>42</v>
      </c>
      <c r="U12" s="72" t="s">
        <v>122</v>
      </c>
      <c r="V12" s="72" t="s">
        <v>122</v>
      </c>
      <c r="W12" s="72" t="s">
        <v>122</v>
      </c>
      <c r="X12" s="72" t="s">
        <v>122</v>
      </c>
      <c r="Y12" s="72">
        <v>0</v>
      </c>
      <c r="Z12" s="414" t="s">
        <v>122</v>
      </c>
      <c r="AA12" s="33"/>
      <c r="AC12" s="30" t="s">
        <v>43</v>
      </c>
      <c r="AD12" s="31">
        <v>93.6</v>
      </c>
      <c r="AE12" s="31">
        <v>16.168750964038257</v>
      </c>
      <c r="AF12" s="31">
        <v>13.102782395027823</v>
      </c>
      <c r="AG12" s="31">
        <v>9.2019950124688279</v>
      </c>
      <c r="AH12" s="31">
        <v>132.07352837153491</v>
      </c>
      <c r="AI12" s="412">
        <v>6.6265379745890779E-2</v>
      </c>
      <c r="AJ12" s="31">
        <f t="shared" si="1"/>
        <v>132.07352837153491</v>
      </c>
      <c r="AK12" s="412">
        <f t="shared" si="0"/>
        <v>7.4831567764068019E-2</v>
      </c>
    </row>
    <row r="13" spans="2:37" ht="15.75" x14ac:dyDescent="0.25">
      <c r="B13" s="48"/>
      <c r="C13" s="49" t="s">
        <v>44</v>
      </c>
      <c r="D13" s="50" t="s">
        <v>32</v>
      </c>
      <c r="E13" s="51"/>
      <c r="F13" s="52"/>
      <c r="I13" s="53" t="s">
        <v>45</v>
      </c>
      <c r="J13" s="69"/>
      <c r="K13" s="70"/>
      <c r="L13" s="56">
        <f>$Q$13*K8</f>
        <v>338702.58405362529</v>
      </c>
      <c r="M13" s="57"/>
      <c r="N13" s="56">
        <f>$Q$13*M8</f>
        <v>77119.339580191328</v>
      </c>
      <c r="O13" s="58"/>
      <c r="P13" s="56">
        <f>$Q$13*O8</f>
        <v>0</v>
      </c>
      <c r="Q13" s="59">
        <f>D348</f>
        <v>415821.92363381665</v>
      </c>
      <c r="R13" s="47"/>
      <c r="T13" s="73"/>
      <c r="U13" s="74"/>
      <c r="V13" s="74"/>
      <c r="W13" s="74"/>
      <c r="X13" s="74"/>
      <c r="Y13" s="74"/>
      <c r="Z13" s="415"/>
      <c r="AA13" s="33"/>
      <c r="AC13" s="30" t="s">
        <v>46</v>
      </c>
      <c r="AD13" s="31">
        <v>70.3</v>
      </c>
      <c r="AE13" s="31">
        <v>20.703166308023359</v>
      </c>
      <c r="AF13" s="31">
        <v>9.8410854954108551</v>
      </c>
      <c r="AG13" s="31">
        <v>0</v>
      </c>
      <c r="AH13" s="31">
        <v>100.8442518034342</v>
      </c>
      <c r="AI13" s="412">
        <v>5.0596684463114848E-2</v>
      </c>
      <c r="AJ13" s="31">
        <f t="shared" si="1"/>
        <v>100.8442518034342</v>
      </c>
      <c r="AK13" s="412">
        <f t="shared" si="0"/>
        <v>5.7137365492477034E-2</v>
      </c>
    </row>
    <row r="14" spans="2:37" ht="16.5" thickBot="1" x14ac:dyDescent="0.3">
      <c r="B14" s="48"/>
      <c r="C14" s="49" t="s">
        <v>47</v>
      </c>
      <c r="D14" s="50" t="s">
        <v>32</v>
      </c>
      <c r="E14" s="51"/>
      <c r="F14" s="52"/>
      <c r="I14" s="53" t="s">
        <v>48</v>
      </c>
      <c r="J14" s="75"/>
      <c r="K14" s="76"/>
      <c r="L14" s="56">
        <f>$Q$14*K8</f>
        <v>0</v>
      </c>
      <c r="M14" s="58"/>
      <c r="N14" s="56">
        <f>$Q$14*M8</f>
        <v>0</v>
      </c>
      <c r="O14" s="58"/>
      <c r="P14" s="56">
        <f>$Q$14*O8</f>
        <v>0</v>
      </c>
      <c r="Q14" s="59">
        <v>0</v>
      </c>
      <c r="R14" s="47"/>
      <c r="T14" s="77"/>
      <c r="U14" s="78"/>
      <c r="V14" s="78"/>
      <c r="W14" s="78"/>
      <c r="X14" s="78"/>
      <c r="Y14" s="78"/>
      <c r="Z14" s="416"/>
      <c r="AA14" s="33"/>
      <c r="AC14" s="30" t="s">
        <v>26</v>
      </c>
      <c r="AD14" s="31">
        <v>230.1</v>
      </c>
      <c r="AE14" s="31">
        <v>44.425284305241206</v>
      </c>
      <c r="AF14" s="31">
        <v>32.211006721110067</v>
      </c>
      <c r="AG14" s="31">
        <v>92.474999999999994</v>
      </c>
      <c r="AH14" s="31">
        <v>399.21129102635132</v>
      </c>
      <c r="AI14" s="412">
        <v>0.20029666902129914</v>
      </c>
      <c r="AJ14" s="31">
        <f t="shared" si="1"/>
        <v>399.21129102635132</v>
      </c>
      <c r="AK14" s="412">
        <f t="shared" si="0"/>
        <v>0.22618920797347294</v>
      </c>
    </row>
    <row r="15" spans="2:37" ht="15.75" x14ac:dyDescent="0.25">
      <c r="B15" s="48"/>
      <c r="C15" s="49" t="s">
        <v>49</v>
      </c>
      <c r="D15" s="50">
        <v>18800</v>
      </c>
      <c r="E15" s="51"/>
      <c r="F15" s="52"/>
      <c r="I15" s="79" t="s">
        <v>50</v>
      </c>
      <c r="J15" s="80"/>
      <c r="K15" s="81"/>
      <c r="L15" s="82">
        <f>SUM(L11:L13)-L14</f>
        <v>5876789.711842319</v>
      </c>
      <c r="M15" s="83"/>
      <c r="N15" s="82">
        <f>SUM(N11:N13)-N14</f>
        <v>1311531.7916943738</v>
      </c>
      <c r="O15" s="83"/>
      <c r="P15" s="82">
        <f>SUM(P11:P13)-P14</f>
        <v>0</v>
      </c>
      <c r="Q15" s="84">
        <f>SUM(Q11:Q13)-Q14</f>
        <v>7046684.9430767326</v>
      </c>
      <c r="R15" s="47"/>
      <c r="T15" s="77"/>
      <c r="U15" s="78"/>
      <c r="V15" s="78"/>
      <c r="W15" s="78"/>
      <c r="X15" s="78"/>
      <c r="Y15" s="78"/>
      <c r="Z15" s="416"/>
      <c r="AA15" s="33"/>
      <c r="AC15" s="30" t="s">
        <v>51</v>
      </c>
      <c r="AD15" s="31">
        <v>76.899999999999991</v>
      </c>
      <c r="AE15" s="31">
        <v>22.950460582804205</v>
      </c>
      <c r="AF15" s="31">
        <v>10.764999638649996</v>
      </c>
      <c r="AG15" s="31">
        <v>0</v>
      </c>
      <c r="AH15" s="31">
        <v>110.6154602214542</v>
      </c>
      <c r="AI15" s="412">
        <v>5.5499202358865185E-2</v>
      </c>
      <c r="AJ15" s="31">
        <f t="shared" si="1"/>
        <v>110.6154602214542</v>
      </c>
      <c r="AK15" s="412">
        <f t="shared" si="0"/>
        <v>6.2673636491560034E-2</v>
      </c>
    </row>
    <row r="16" spans="2:37" ht="15.75" x14ac:dyDescent="0.25">
      <c r="B16" s="48"/>
      <c r="C16" s="49" t="s">
        <v>52</v>
      </c>
      <c r="D16" s="50" t="s">
        <v>32</v>
      </c>
      <c r="E16" s="51"/>
      <c r="F16" s="52"/>
      <c r="I16" s="53" t="s">
        <v>53</v>
      </c>
      <c r="J16" s="85"/>
      <c r="K16" s="58"/>
      <c r="L16" s="56">
        <f>$Q$16*K8</f>
        <v>619298.57039138407</v>
      </c>
      <c r="M16" s="58"/>
      <c r="N16" s="56">
        <f>$Q$16*M8</f>
        <v>141008.36249887766</v>
      </c>
      <c r="O16" s="58"/>
      <c r="P16" s="56">
        <f>$Q$16*O8</f>
        <v>0</v>
      </c>
      <c r="Q16" s="59">
        <f>SUM(E346:F346)-E31</f>
        <v>760306.93289026176</v>
      </c>
      <c r="R16" s="47"/>
      <c r="T16" s="86"/>
      <c r="U16" s="78"/>
      <c r="V16" s="78"/>
      <c r="W16" s="78"/>
      <c r="X16" s="78"/>
      <c r="Y16" s="78"/>
      <c r="Z16" s="416"/>
      <c r="AA16" s="33"/>
      <c r="AB16" s="87"/>
      <c r="AC16" s="88" t="s">
        <v>54</v>
      </c>
      <c r="AD16" s="31">
        <v>43.2</v>
      </c>
      <c r="AE16" s="31">
        <v>12.722287119581924</v>
      </c>
      <c r="AF16" s="31">
        <v>6.0474380284743816</v>
      </c>
      <c r="AG16" s="31">
        <v>0</v>
      </c>
      <c r="AH16" s="31">
        <v>61.969725148056305</v>
      </c>
      <c r="AI16" s="412">
        <v>3.1092130423990921E-2</v>
      </c>
      <c r="AJ16" s="31">
        <f t="shared" si="1"/>
        <v>61.969725148056305</v>
      </c>
      <c r="AK16" s="412">
        <f t="shared" si="0"/>
        <v>3.5111439392247631E-2</v>
      </c>
    </row>
    <row r="17" spans="2:37" ht="16.5" thickBot="1" x14ac:dyDescent="0.3">
      <c r="B17" s="48"/>
      <c r="C17" s="49" t="s">
        <v>55</v>
      </c>
      <c r="D17" s="50" t="s">
        <v>32</v>
      </c>
      <c r="E17" s="51"/>
      <c r="F17" s="52"/>
      <c r="I17" s="89" t="s">
        <v>56</v>
      </c>
      <c r="J17" s="90"/>
      <c r="K17" s="91"/>
      <c r="L17" s="92">
        <f>$Q$17*K8</f>
        <v>1153774.7274194248</v>
      </c>
      <c r="M17" s="91"/>
      <c r="N17" s="92">
        <f>$Q$17*M8</f>
        <v>262703.47258057457</v>
      </c>
      <c r="O17" s="91"/>
      <c r="P17" s="92">
        <f>$Q$17*O8</f>
        <v>0</v>
      </c>
      <c r="Q17" s="93">
        <v>1416478.1999999993</v>
      </c>
      <c r="R17" s="47"/>
      <c r="T17" s="86"/>
      <c r="U17" s="78"/>
      <c r="V17" s="78"/>
      <c r="W17" s="78"/>
      <c r="X17" s="78"/>
      <c r="Y17" s="78"/>
      <c r="Z17" s="416"/>
      <c r="AA17" s="33"/>
      <c r="AC17" s="88" t="s">
        <v>57</v>
      </c>
      <c r="AD17" s="31">
        <v>32.299999999999997</v>
      </c>
      <c r="AE17" s="31">
        <v>9.7532152842497677</v>
      </c>
      <c r="AF17" s="31">
        <v>4.5215798222157977</v>
      </c>
      <c r="AG17" s="31">
        <v>0</v>
      </c>
      <c r="AH17" s="31">
        <v>46.574795106465565</v>
      </c>
      <c r="AI17" s="412">
        <v>2.3368017212616311E-2</v>
      </c>
      <c r="AJ17" s="31">
        <f t="shared" si="1"/>
        <v>46.574795106465565</v>
      </c>
      <c r="AK17" s="412">
        <f t="shared" si="0"/>
        <v>2.6388822795001682E-2</v>
      </c>
    </row>
    <row r="18" spans="2:37" x14ac:dyDescent="0.25">
      <c r="B18" s="48"/>
      <c r="C18" s="49" t="s">
        <v>58</v>
      </c>
      <c r="D18" s="50" t="s">
        <v>32</v>
      </c>
      <c r="E18" s="51"/>
      <c r="F18" s="52"/>
      <c r="T18" s="86"/>
      <c r="U18" s="78"/>
      <c r="V18" s="78"/>
      <c r="W18" s="78"/>
      <c r="X18" s="78"/>
      <c r="Y18" s="78"/>
      <c r="Z18" s="416"/>
      <c r="AC18" s="88" t="s">
        <v>59</v>
      </c>
      <c r="AD18" s="31">
        <v>13</v>
      </c>
      <c r="AE18" s="31">
        <v>3.8284660313556711</v>
      </c>
      <c r="AF18" s="31">
        <v>1.819830888198309</v>
      </c>
      <c r="AG18" s="31">
        <v>0</v>
      </c>
      <c r="AH18" s="31">
        <v>18.648296919553978</v>
      </c>
      <c r="AI18" s="412">
        <v>9.3564281368491188E-3</v>
      </c>
      <c r="AJ18" s="31">
        <f t="shared" si="1"/>
        <v>18.648296919553978</v>
      </c>
      <c r="AK18" s="412">
        <f t="shared" si="0"/>
        <v>1.0565942409704146E-2</v>
      </c>
    </row>
    <row r="19" spans="2:37" ht="15" customHeight="1" thickBot="1" x14ac:dyDescent="0.3">
      <c r="B19" s="48"/>
      <c r="C19" s="49" t="s">
        <v>60</v>
      </c>
      <c r="D19" s="50">
        <v>44859</v>
      </c>
      <c r="E19" s="51"/>
      <c r="F19" s="52"/>
      <c r="T19" s="86"/>
      <c r="U19" s="78"/>
      <c r="V19" s="78"/>
      <c r="W19" s="78"/>
      <c r="X19" s="78"/>
      <c r="Y19" s="78"/>
      <c r="Z19" s="416"/>
      <c r="AC19" s="60" t="s">
        <v>34</v>
      </c>
      <c r="AD19" s="61">
        <v>211.29999999999973</v>
      </c>
      <c r="AE19" s="61">
        <v>45.44354919678716</v>
      </c>
      <c r="AF19" s="61">
        <v>29.579251282792477</v>
      </c>
      <c r="AG19" s="61">
        <v>0</v>
      </c>
      <c r="AH19" s="61">
        <v>286.32280047957937</v>
      </c>
      <c r="AI19" s="413">
        <v>0.14365701694826119</v>
      </c>
      <c r="AJ19" s="61">
        <f t="shared" si="1"/>
        <v>286.32280047957937</v>
      </c>
      <c r="AK19" s="413">
        <f t="shared" si="0"/>
        <v>0.16222769475963511</v>
      </c>
    </row>
    <row r="20" spans="2:37" ht="44.25" customHeight="1" x14ac:dyDescent="0.25">
      <c r="B20" s="35">
        <v>3</v>
      </c>
      <c r="C20" s="36" t="s">
        <v>61</v>
      </c>
      <c r="D20" s="37">
        <f>SUM(D21:D22)</f>
        <v>34553</v>
      </c>
      <c r="E20" s="38"/>
      <c r="F20" s="39"/>
      <c r="I20" s="444" t="s">
        <v>62</v>
      </c>
      <c r="J20" s="450"/>
      <c r="K20" s="16" t="s">
        <v>10</v>
      </c>
      <c r="L20" s="17" t="s">
        <v>11</v>
      </c>
      <c r="M20" s="16" t="s">
        <v>12</v>
      </c>
      <c r="N20" s="17" t="s">
        <v>13</v>
      </c>
      <c r="O20" s="16" t="s">
        <v>14</v>
      </c>
      <c r="P20" s="17" t="s">
        <v>15</v>
      </c>
      <c r="Q20" s="18"/>
      <c r="S20" s="87"/>
      <c r="T20" s="86"/>
      <c r="U20" s="94"/>
      <c r="V20" s="94"/>
      <c r="W20" s="94"/>
      <c r="X20" s="94"/>
      <c r="Y20" s="94"/>
      <c r="Z20" s="417"/>
      <c r="AC20" s="60" t="s">
        <v>38</v>
      </c>
      <c r="AD20" s="95">
        <v>1383.6999999999998</v>
      </c>
      <c r="AE20" s="95">
        <v>247.4</v>
      </c>
      <c r="AF20" s="95">
        <v>193.69999999999996</v>
      </c>
      <c r="AG20" s="95">
        <v>168.3</v>
      </c>
      <c r="AH20" s="95">
        <v>1993.1</v>
      </c>
      <c r="AI20" s="418">
        <v>1</v>
      </c>
      <c r="AJ20" s="95">
        <f>SUM(AJ8:AJ19)</f>
        <v>1764.9440245317544</v>
      </c>
      <c r="AK20" s="418">
        <f t="shared" si="0"/>
        <v>1</v>
      </c>
    </row>
    <row r="21" spans="2:37" x14ac:dyDescent="0.25">
      <c r="B21" s="48" t="s">
        <v>63</v>
      </c>
      <c r="C21" s="49" t="s">
        <v>64</v>
      </c>
      <c r="D21" s="50">
        <v>9553</v>
      </c>
      <c r="E21" s="51"/>
      <c r="F21" s="52"/>
      <c r="I21" s="451"/>
      <c r="J21" s="452"/>
      <c r="K21" s="25">
        <f>1-M21-O21</f>
        <v>0.69284003410675488</v>
      </c>
      <c r="L21" s="26"/>
      <c r="M21" s="25">
        <f>AK9</f>
        <v>0.14493227113361004</v>
      </c>
      <c r="N21" s="26"/>
      <c r="O21" s="27">
        <f>AK19</f>
        <v>0.16222769475963511</v>
      </c>
      <c r="P21" s="28"/>
      <c r="Q21" s="29"/>
      <c r="R21" s="430"/>
      <c r="T21" s="96"/>
      <c r="U21" s="97"/>
      <c r="V21" s="97"/>
      <c r="W21" s="97"/>
      <c r="X21" s="97"/>
      <c r="Y21" s="97"/>
      <c r="Z21" s="419"/>
      <c r="AC21" s="60" t="s">
        <v>42</v>
      </c>
      <c r="AD21" s="95" t="s">
        <v>122</v>
      </c>
      <c r="AE21" s="95" t="s">
        <v>122</v>
      </c>
      <c r="AF21" s="95" t="s">
        <v>122</v>
      </c>
      <c r="AG21" s="95" t="s">
        <v>122</v>
      </c>
      <c r="AH21" s="95">
        <v>0</v>
      </c>
      <c r="AI21" s="418" t="s">
        <v>122</v>
      </c>
      <c r="AJ21" s="95"/>
      <c r="AK21" s="418"/>
    </row>
    <row r="22" spans="2:37" ht="15.75" x14ac:dyDescent="0.25">
      <c r="B22" s="48" t="s">
        <v>65</v>
      </c>
      <c r="C22" s="49" t="s">
        <v>66</v>
      </c>
      <c r="D22" s="98">
        <v>25000</v>
      </c>
      <c r="E22" s="51"/>
      <c r="F22" s="52"/>
      <c r="G22" s="407"/>
      <c r="I22" s="40" t="s">
        <v>29</v>
      </c>
      <c r="J22" s="41"/>
      <c r="K22" s="42"/>
      <c r="L22" s="43">
        <f>($Q$22*K21)+28624+27375.7947748571</f>
        <v>205264.73269140458</v>
      </c>
      <c r="M22" s="44"/>
      <c r="N22" s="43">
        <f>($Q$22*M21)+D32*0.2+D34*0.3+D41+SUM(D43,D54,D59:D61)*0.5</f>
        <v>46703.064412757376</v>
      </c>
      <c r="O22" s="45"/>
      <c r="P22" s="43">
        <f>$Q$22*O21</f>
        <v>34950.213028409453</v>
      </c>
      <c r="Q22" s="46">
        <f>SUM(D35:D38,D40,D42,D45:D53,D55,D58,D62:D65)</f>
        <v>215439.25086400003</v>
      </c>
      <c r="R22" s="47"/>
      <c r="S22" s="406"/>
      <c r="T22" s="96"/>
      <c r="U22" s="97"/>
      <c r="V22" s="97"/>
      <c r="W22" s="97"/>
      <c r="X22" s="97"/>
      <c r="Y22" s="97"/>
      <c r="Z22" s="97"/>
    </row>
    <row r="23" spans="2:37" ht="15.75" x14ac:dyDescent="0.25">
      <c r="B23" s="35">
        <v>4</v>
      </c>
      <c r="C23" s="99" t="s">
        <v>67</v>
      </c>
      <c r="D23" s="37">
        <f>SUM(D24:D24)</f>
        <v>125257.3</v>
      </c>
      <c r="E23" s="38"/>
      <c r="F23" s="39"/>
      <c r="G23" s="408"/>
      <c r="I23" s="53" t="s">
        <v>33</v>
      </c>
      <c r="J23" s="54"/>
      <c r="K23" s="55"/>
      <c r="L23" s="56">
        <f>$Q$23*K21</f>
        <v>0</v>
      </c>
      <c r="M23" s="57"/>
      <c r="N23" s="56">
        <f>$Q$23*M21</f>
        <v>0</v>
      </c>
      <c r="O23" s="58"/>
      <c r="P23" s="56">
        <f>$Q$23*O21</f>
        <v>0</v>
      </c>
      <c r="Q23" s="59">
        <v>0</v>
      </c>
      <c r="R23" s="47"/>
      <c r="T23" s="100"/>
      <c r="U23" s="101"/>
      <c r="V23" s="101"/>
      <c r="W23" s="101"/>
      <c r="X23" s="101"/>
      <c r="Y23" s="101"/>
      <c r="Z23" s="420"/>
    </row>
    <row r="24" spans="2:37" ht="15.75" x14ac:dyDescent="0.25">
      <c r="B24" s="48"/>
      <c r="C24" s="49" t="s">
        <v>68</v>
      </c>
      <c r="D24" s="50">
        <v>125257.3</v>
      </c>
      <c r="E24" s="102"/>
      <c r="F24" s="52"/>
      <c r="G24" s="408"/>
      <c r="I24" s="62" t="s">
        <v>37</v>
      </c>
      <c r="J24" s="63"/>
      <c r="K24" s="64"/>
      <c r="L24" s="65">
        <f>SUM(L22:L23)</f>
        <v>205264.73269140458</v>
      </c>
      <c r="M24" s="66"/>
      <c r="N24" s="65">
        <f>SUM(N22:N23)</f>
        <v>46703.064412757376</v>
      </c>
      <c r="O24" s="67"/>
      <c r="P24" s="65">
        <f>SUM(P22:P23)</f>
        <v>34950.213028409453</v>
      </c>
      <c r="Q24" s="68">
        <f>SUM(Q22:Q23)+71478.76</f>
        <v>286918.01086400001</v>
      </c>
      <c r="R24" s="47"/>
      <c r="T24" s="100"/>
      <c r="U24" s="101"/>
      <c r="V24" s="101"/>
      <c r="W24" s="101"/>
      <c r="X24" s="101"/>
      <c r="Y24" s="101"/>
      <c r="Z24" s="420"/>
    </row>
    <row r="25" spans="2:37" ht="15.75" x14ac:dyDescent="0.25">
      <c r="B25" s="448" t="s">
        <v>69</v>
      </c>
      <c r="C25" s="449"/>
      <c r="D25" s="22">
        <f>SUM(D26,D30,D341)</f>
        <v>6605276.7044638908</v>
      </c>
      <c r="E25" s="23"/>
      <c r="F25" s="24"/>
      <c r="G25" s="408"/>
      <c r="I25" s="53" t="s">
        <v>41</v>
      </c>
      <c r="J25" s="69"/>
      <c r="K25" s="70"/>
      <c r="L25" s="56">
        <f>$Q$25*K21</f>
        <v>4969.7071108214013</v>
      </c>
      <c r="M25" s="57"/>
      <c r="N25" s="56">
        <f>$Q$25*M21</f>
        <v>1039.5919735914331</v>
      </c>
      <c r="O25" s="58"/>
      <c r="P25" s="56">
        <f>$Q$25*O21</f>
        <v>1163.6511871871667</v>
      </c>
      <c r="Q25" s="59">
        <f>Q24*2.5%</f>
        <v>7172.9502716000006</v>
      </c>
      <c r="R25" s="47"/>
    </row>
    <row r="26" spans="2:37" ht="14.25" customHeight="1" x14ac:dyDescent="0.25">
      <c r="B26" s="35">
        <v>5</v>
      </c>
      <c r="C26" s="36" t="s">
        <v>70</v>
      </c>
      <c r="D26" s="37">
        <f>SUM(D27:D29)</f>
        <v>251017</v>
      </c>
      <c r="E26" s="38"/>
      <c r="F26" s="39"/>
      <c r="G26" s="408"/>
      <c r="I26" s="53" t="s">
        <v>45</v>
      </c>
      <c r="J26" s="69"/>
      <c r="K26" s="70"/>
      <c r="L26" s="56">
        <f>$Q$26*K21</f>
        <v>0</v>
      </c>
      <c r="M26" s="57"/>
      <c r="N26" s="56">
        <f>$Q$26*M21</f>
        <v>0</v>
      </c>
      <c r="O26" s="58"/>
      <c r="P26" s="56">
        <f>$Q$26*O21</f>
        <v>0</v>
      </c>
      <c r="Q26" s="59">
        <f>D359</f>
        <v>0</v>
      </c>
      <c r="R26" s="47"/>
    </row>
    <row r="27" spans="2:37" ht="16.5" thickBot="1" x14ac:dyDescent="0.3">
      <c r="B27" s="48"/>
      <c r="C27" s="49" t="s">
        <v>71</v>
      </c>
      <c r="D27" s="50">
        <v>247267</v>
      </c>
      <c r="E27" s="51"/>
      <c r="F27" s="52"/>
      <c r="G27" s="408"/>
      <c r="I27" s="53" t="s">
        <v>48</v>
      </c>
      <c r="J27" s="75"/>
      <c r="K27" s="76"/>
      <c r="L27" s="56">
        <f>$Q$27*K21</f>
        <v>0</v>
      </c>
      <c r="M27" s="58"/>
      <c r="N27" s="56">
        <f>$Q$27*M21</f>
        <v>0</v>
      </c>
      <c r="O27" s="58"/>
      <c r="P27" s="56">
        <f>$Q$27*O21</f>
        <v>0</v>
      </c>
      <c r="Q27" s="59">
        <v>0</v>
      </c>
      <c r="R27" s="47"/>
    </row>
    <row r="28" spans="2:37" ht="15.75" x14ac:dyDescent="0.25">
      <c r="B28" s="48"/>
      <c r="C28" s="49" t="s">
        <v>72</v>
      </c>
      <c r="D28" s="103">
        <v>3750</v>
      </c>
      <c r="E28" s="51"/>
      <c r="F28" s="52"/>
      <c r="G28" s="408"/>
      <c r="I28" s="79" t="s">
        <v>50</v>
      </c>
      <c r="J28" s="80"/>
      <c r="K28" s="81"/>
      <c r="L28" s="82">
        <f>SUM(L24:L26)-L27</f>
        <v>210234.439802226</v>
      </c>
      <c r="M28" s="83"/>
      <c r="N28" s="82">
        <f>SUM(N24:N26)-N27</f>
        <v>47742.656386348812</v>
      </c>
      <c r="O28" s="83"/>
      <c r="P28" s="82">
        <f>SUM(P24:P26)-P27</f>
        <v>36113.864215596623</v>
      </c>
      <c r="Q28" s="84">
        <f>SUM(Q24:Q26)-Q27</f>
        <v>294090.9611356</v>
      </c>
      <c r="R28" s="47"/>
    </row>
    <row r="29" spans="2:37" ht="15.75" x14ac:dyDescent="0.25">
      <c r="B29" s="48"/>
      <c r="C29" s="49" t="s">
        <v>73</v>
      </c>
      <c r="D29" s="50" t="s">
        <v>32</v>
      </c>
      <c r="E29" s="51"/>
      <c r="F29" s="52"/>
      <c r="G29" s="408"/>
      <c r="I29" s="53" t="s">
        <v>53</v>
      </c>
      <c r="J29" s="85"/>
      <c r="K29" s="58"/>
      <c r="L29" s="56">
        <f>$Q$28*K21</f>
        <v>203757.99154367743</v>
      </c>
      <c r="M29" s="58"/>
      <c r="N29" s="56">
        <f>$Q$28*M21</f>
        <v>42623.270917248752</v>
      </c>
      <c r="O29" s="58"/>
      <c r="P29" s="56">
        <f>$Q$28*O21</f>
        <v>47709.698674673826</v>
      </c>
      <c r="Q29" s="59">
        <f>E31</f>
        <v>286918.01013257139</v>
      </c>
      <c r="R29" s="47"/>
    </row>
    <row r="30" spans="2:37" ht="16.5" thickBot="1" x14ac:dyDescent="0.3">
      <c r="B30" s="35">
        <v>6</v>
      </c>
      <c r="C30" s="36" t="s">
        <v>74</v>
      </c>
      <c r="D30" s="37">
        <f>SUM(D31,D66)</f>
        <v>6092214.0044638906</v>
      </c>
      <c r="E30" s="38"/>
      <c r="F30" s="39"/>
      <c r="G30" s="408"/>
      <c r="I30" s="53" t="s">
        <v>56</v>
      </c>
      <c r="J30" s="85"/>
      <c r="K30" s="58"/>
      <c r="L30" s="56">
        <f>$Q$30*K21</f>
        <v>0</v>
      </c>
      <c r="M30" s="58"/>
      <c r="N30" s="56">
        <f>$Q$30*M21</f>
        <v>0</v>
      </c>
      <c r="O30" s="58"/>
      <c r="P30" s="56">
        <f>$Q$30*O21</f>
        <v>0</v>
      </c>
      <c r="Q30" s="46">
        <v>0</v>
      </c>
      <c r="R30" s="47"/>
    </row>
    <row r="31" spans="2:37" ht="16.5" thickTop="1" x14ac:dyDescent="0.25">
      <c r="B31" s="104" t="s">
        <v>75</v>
      </c>
      <c r="C31" s="36" t="s">
        <v>76</v>
      </c>
      <c r="D31" s="37">
        <f>SUM(D32:D65)</f>
        <v>286918.01013257139</v>
      </c>
      <c r="E31" s="38">
        <f>SUM(D32:D65)</f>
        <v>286918.01013257139</v>
      </c>
      <c r="F31" s="39"/>
      <c r="G31" s="408"/>
      <c r="I31" s="105" t="s">
        <v>77</v>
      </c>
      <c r="J31" s="106"/>
      <c r="K31" s="107"/>
      <c r="L31" s="108">
        <f>SUM(L15,L28)</f>
        <v>6087024.1516445447</v>
      </c>
      <c r="M31" s="109"/>
      <c r="N31" s="108">
        <f>SUM(N15,N28)</f>
        <v>1359274.4480807227</v>
      </c>
      <c r="O31" s="109"/>
      <c r="P31" s="108">
        <f t="shared" ref="P31:Q33" si="2">SUM(P15,P28)</f>
        <v>36113.864215596623</v>
      </c>
      <c r="Q31" s="110">
        <f t="shared" si="2"/>
        <v>7340775.9042123323</v>
      </c>
      <c r="R31" s="47"/>
    </row>
    <row r="32" spans="2:37" ht="15.75" outlineLevel="1" x14ac:dyDescent="0.25">
      <c r="B32" s="403"/>
      <c r="C32" s="111" t="s">
        <v>78</v>
      </c>
      <c r="D32" s="112">
        <v>17248.552868571427</v>
      </c>
      <c r="E32" s="51" t="s">
        <v>32</v>
      </c>
      <c r="F32" s="52"/>
      <c r="G32" s="407"/>
      <c r="I32" s="53" t="s">
        <v>79</v>
      </c>
      <c r="J32" s="85"/>
      <c r="K32" s="58"/>
      <c r="L32" s="56">
        <f t="shared" ref="L32:N33" si="3">SUM(L16,L29)</f>
        <v>823056.56193506147</v>
      </c>
      <c r="M32" s="58"/>
      <c r="N32" s="56">
        <f t="shared" si="3"/>
        <v>183631.63341612642</v>
      </c>
      <c r="O32" s="58"/>
      <c r="P32" s="56">
        <f t="shared" si="2"/>
        <v>47709.698674673826</v>
      </c>
      <c r="Q32" s="59">
        <f t="shared" si="2"/>
        <v>1047224.9430228332</v>
      </c>
      <c r="R32" s="47"/>
    </row>
    <row r="33" spans="2:20" ht="16.5" outlineLevel="1" thickBot="1" x14ac:dyDescent="0.3">
      <c r="B33" s="403"/>
      <c r="C33" s="111" t="s">
        <v>80</v>
      </c>
      <c r="D33" s="112">
        <v>1056</v>
      </c>
      <c r="E33" s="51" t="s">
        <v>32</v>
      </c>
      <c r="F33" s="52"/>
      <c r="G33" s="408"/>
      <c r="I33" s="89" t="s">
        <v>81</v>
      </c>
      <c r="J33" s="90"/>
      <c r="K33" s="91"/>
      <c r="L33" s="92">
        <f t="shared" si="3"/>
        <v>1153774.7274194248</v>
      </c>
      <c r="M33" s="91"/>
      <c r="N33" s="92">
        <f t="shared" si="3"/>
        <v>262703.47258057457</v>
      </c>
      <c r="O33" s="91"/>
      <c r="P33" s="92">
        <f t="shared" si="2"/>
        <v>0</v>
      </c>
      <c r="Q33" s="93">
        <f t="shared" si="2"/>
        <v>1416478.1999999993</v>
      </c>
      <c r="R33" s="47"/>
    </row>
    <row r="34" spans="2:20" outlineLevel="1" x14ac:dyDescent="0.25">
      <c r="B34" s="403"/>
      <c r="C34" s="111" t="s">
        <v>82</v>
      </c>
      <c r="D34" s="112">
        <v>5789.2463999999991</v>
      </c>
      <c r="E34" s="51" t="s">
        <v>32</v>
      </c>
      <c r="F34" s="52"/>
      <c r="G34" s="407"/>
    </row>
    <row r="35" spans="2:20" outlineLevel="1" x14ac:dyDescent="0.25">
      <c r="B35" s="403"/>
      <c r="C35" s="111" t="s">
        <v>83</v>
      </c>
      <c r="D35" s="112">
        <v>23436.489600000001</v>
      </c>
      <c r="E35" s="51" t="s">
        <v>32</v>
      </c>
      <c r="F35" s="52"/>
      <c r="G35" s="408"/>
    </row>
    <row r="36" spans="2:20" outlineLevel="1" x14ac:dyDescent="0.25">
      <c r="B36" s="403"/>
      <c r="C36" s="111" t="s">
        <v>84</v>
      </c>
      <c r="D36" s="112">
        <v>3765.3120000000008</v>
      </c>
      <c r="E36" s="51" t="s">
        <v>32</v>
      </c>
      <c r="F36" s="52"/>
      <c r="G36" s="408"/>
      <c r="Q36" s="406"/>
    </row>
    <row r="37" spans="2:20" outlineLevel="1" x14ac:dyDescent="0.25">
      <c r="B37" s="403"/>
      <c r="C37" s="111" t="s">
        <v>85</v>
      </c>
      <c r="D37" s="112">
        <v>5929.2575999999999</v>
      </c>
      <c r="E37" s="51" t="s">
        <v>32</v>
      </c>
      <c r="F37" s="52"/>
      <c r="G37" s="408"/>
    </row>
    <row r="38" spans="2:20" outlineLevel="1" x14ac:dyDescent="0.25">
      <c r="B38" s="403"/>
      <c r="C38" s="111" t="s">
        <v>86</v>
      </c>
      <c r="D38" s="112">
        <v>1619.28</v>
      </c>
      <c r="E38" s="51" t="s">
        <v>32</v>
      </c>
      <c r="F38" s="52"/>
      <c r="G38" s="408"/>
    </row>
    <row r="39" spans="2:20" outlineLevel="1" x14ac:dyDescent="0.25">
      <c r="B39" s="403"/>
      <c r="C39" s="111" t="s">
        <v>87</v>
      </c>
      <c r="D39" s="112">
        <v>6412.7999999999993</v>
      </c>
      <c r="E39" s="51" t="s">
        <v>32</v>
      </c>
      <c r="F39" s="52"/>
      <c r="G39" s="408"/>
    </row>
    <row r="40" spans="2:20" outlineLevel="1" x14ac:dyDescent="0.25">
      <c r="B40" s="403"/>
      <c r="C40" s="111" t="s">
        <v>88</v>
      </c>
      <c r="D40" s="112">
        <v>5811.84</v>
      </c>
      <c r="E40" s="51" t="s">
        <v>32</v>
      </c>
      <c r="F40" s="52"/>
      <c r="G40" s="408"/>
      <c r="I40" s="406"/>
    </row>
    <row r="41" spans="2:20" outlineLevel="1" x14ac:dyDescent="0.25">
      <c r="B41" s="403"/>
      <c r="C41" s="111" t="s">
        <v>89</v>
      </c>
      <c r="D41" s="112">
        <v>768</v>
      </c>
      <c r="E41" s="51" t="s">
        <v>32</v>
      </c>
      <c r="F41" s="52"/>
      <c r="G41" s="407"/>
      <c r="I41" s="406"/>
      <c r="T41" s="113"/>
    </row>
    <row r="42" spans="2:20" outlineLevel="1" x14ac:dyDescent="0.25">
      <c r="B42" s="403"/>
      <c r="C42" s="111" t="s">
        <v>90</v>
      </c>
      <c r="D42" s="112">
        <v>2534.25</v>
      </c>
      <c r="E42" s="51" t="s">
        <v>32</v>
      </c>
      <c r="F42" s="52"/>
      <c r="G42" s="408"/>
      <c r="I42" s="401"/>
    </row>
    <row r="43" spans="2:20" outlineLevel="1" x14ac:dyDescent="0.25">
      <c r="B43" s="403"/>
      <c r="C43" s="111" t="s">
        <v>91</v>
      </c>
      <c r="D43" s="112">
        <v>2880</v>
      </c>
      <c r="E43" s="51" t="s">
        <v>32</v>
      </c>
      <c r="F43" s="52"/>
      <c r="G43" s="407"/>
    </row>
    <row r="44" spans="2:20" outlineLevel="1" x14ac:dyDescent="0.25">
      <c r="B44" s="403"/>
      <c r="C44" s="111" t="s">
        <v>92</v>
      </c>
      <c r="D44" s="112">
        <v>2880</v>
      </c>
      <c r="E44" s="51" t="s">
        <v>32</v>
      </c>
      <c r="F44" s="52"/>
      <c r="G44" s="408"/>
      <c r="I44" s="402"/>
      <c r="J44" s="407"/>
      <c r="M44" s="47"/>
      <c r="N44" s="47"/>
    </row>
    <row r="45" spans="2:20" outlineLevel="1" x14ac:dyDescent="0.25">
      <c r="B45" s="403"/>
      <c r="C45" s="111" t="s">
        <v>93</v>
      </c>
      <c r="D45" s="112">
        <v>11154.624000000002</v>
      </c>
      <c r="E45" s="51" t="s">
        <v>32</v>
      </c>
      <c r="F45" s="52"/>
      <c r="G45" s="408"/>
      <c r="I45" s="402"/>
      <c r="J45" s="407"/>
      <c r="M45" s="47"/>
      <c r="N45" s="47"/>
    </row>
    <row r="46" spans="2:20" outlineLevel="1" x14ac:dyDescent="0.25">
      <c r="B46" s="403"/>
      <c r="C46" s="111" t="s">
        <v>94</v>
      </c>
      <c r="D46" s="112">
        <v>30675.216</v>
      </c>
      <c r="E46" s="51" t="s">
        <v>32</v>
      </c>
      <c r="F46" s="52"/>
      <c r="G46" s="408"/>
      <c r="I46" s="402"/>
      <c r="J46" s="407"/>
      <c r="M46" s="47"/>
      <c r="N46" s="47"/>
    </row>
    <row r="47" spans="2:20" outlineLevel="1" x14ac:dyDescent="0.25">
      <c r="B47" s="403"/>
      <c r="C47" s="111" t="s">
        <v>95</v>
      </c>
      <c r="D47" s="112">
        <v>2880</v>
      </c>
      <c r="E47" s="51" t="s">
        <v>32</v>
      </c>
      <c r="F47" s="52"/>
      <c r="G47" s="408"/>
      <c r="I47" s="402"/>
      <c r="J47" s="407"/>
      <c r="M47" s="47"/>
      <c r="N47" s="47"/>
    </row>
    <row r="48" spans="2:20" outlineLevel="1" x14ac:dyDescent="0.25">
      <c r="B48" s="403"/>
      <c r="C48" s="111" t="s">
        <v>96</v>
      </c>
      <c r="D48" s="112">
        <v>26127.360000000001</v>
      </c>
      <c r="E48" s="51" t="s">
        <v>32</v>
      </c>
      <c r="F48" s="52"/>
      <c r="G48" s="408"/>
      <c r="I48" s="402"/>
      <c r="J48" s="407"/>
      <c r="M48" s="47"/>
      <c r="N48" s="47"/>
    </row>
    <row r="49" spans="2:14" outlineLevel="1" x14ac:dyDescent="0.25">
      <c r="B49" s="403"/>
      <c r="C49" s="111" t="s">
        <v>97</v>
      </c>
      <c r="D49" s="112">
        <v>8980.7999999999993</v>
      </c>
      <c r="E49" s="51" t="s">
        <v>32</v>
      </c>
      <c r="F49" s="52"/>
      <c r="G49" s="408"/>
      <c r="I49" s="431"/>
      <c r="J49" s="100"/>
      <c r="M49" s="431"/>
      <c r="N49" s="431"/>
    </row>
    <row r="50" spans="2:14" outlineLevel="1" x14ac:dyDescent="0.25">
      <c r="B50" s="403"/>
      <c r="C50" s="111" t="s">
        <v>98</v>
      </c>
      <c r="D50" s="112">
        <v>12340.8</v>
      </c>
      <c r="E50" s="51" t="s">
        <v>32</v>
      </c>
      <c r="F50" s="52"/>
      <c r="G50" s="408"/>
      <c r="I50" s="407"/>
    </row>
    <row r="51" spans="2:14" outlineLevel="1" x14ac:dyDescent="0.25">
      <c r="B51" s="403"/>
      <c r="C51" s="111" t="s">
        <v>99</v>
      </c>
      <c r="D51" s="112">
        <v>14049.6</v>
      </c>
      <c r="E51" s="51" t="s">
        <v>32</v>
      </c>
      <c r="F51" s="52"/>
      <c r="G51" s="408"/>
      <c r="I51" s="408"/>
    </row>
    <row r="52" spans="2:14" outlineLevel="1" x14ac:dyDescent="0.25">
      <c r="B52" s="403"/>
      <c r="C52" s="111" t="s">
        <v>100</v>
      </c>
      <c r="D52" s="112">
        <v>13693.439999999999</v>
      </c>
      <c r="E52" s="51" t="s">
        <v>32</v>
      </c>
      <c r="F52" s="52"/>
      <c r="G52" s="408"/>
      <c r="L52" s="432"/>
      <c r="M52" s="406"/>
      <c r="N52" s="433"/>
    </row>
    <row r="53" spans="2:14" outlineLevel="1" x14ac:dyDescent="0.25">
      <c r="B53" s="403"/>
      <c r="C53" s="111" t="s">
        <v>101</v>
      </c>
      <c r="D53" s="112">
        <v>5025.5999999999995</v>
      </c>
      <c r="E53" s="51" t="s">
        <v>32</v>
      </c>
      <c r="F53" s="52"/>
      <c r="G53" s="408"/>
      <c r="I53" s="408"/>
      <c r="L53" s="114"/>
      <c r="M53" s="406"/>
      <c r="N53" s="433"/>
    </row>
    <row r="54" spans="2:14" outlineLevel="1" x14ac:dyDescent="0.25">
      <c r="B54" s="403"/>
      <c r="C54" s="111" t="s">
        <v>102</v>
      </c>
      <c r="D54" s="112">
        <v>2329.6</v>
      </c>
      <c r="E54" s="51" t="s">
        <v>32</v>
      </c>
      <c r="F54" s="52"/>
      <c r="G54" s="407"/>
      <c r="L54" s="114"/>
      <c r="M54" s="406"/>
      <c r="N54" s="433"/>
    </row>
    <row r="55" spans="2:14" outlineLevel="1" x14ac:dyDescent="0.25">
      <c r="B55" s="403"/>
      <c r="C55" s="111" t="s">
        <v>103</v>
      </c>
      <c r="D55" s="112">
        <v>200</v>
      </c>
      <c r="E55" s="51" t="s">
        <v>32</v>
      </c>
      <c r="F55" s="52"/>
      <c r="G55" s="408"/>
      <c r="I55" s="408"/>
      <c r="L55" s="114"/>
      <c r="M55" s="3"/>
      <c r="N55" s="433"/>
    </row>
    <row r="56" spans="2:14" outlineLevel="1" x14ac:dyDescent="0.25">
      <c r="B56" s="403"/>
      <c r="C56" s="111" t="s">
        <v>104</v>
      </c>
      <c r="D56" s="112">
        <v>9137.6</v>
      </c>
      <c r="E56" s="51" t="s">
        <v>32</v>
      </c>
      <c r="F56" s="52"/>
      <c r="G56" s="408"/>
      <c r="I56" s="408"/>
      <c r="M56" s="406"/>
      <c r="N56" s="433"/>
    </row>
    <row r="57" spans="2:14" outlineLevel="1" x14ac:dyDescent="0.25">
      <c r="B57" s="403"/>
      <c r="C57" s="111" t="s">
        <v>105</v>
      </c>
      <c r="D57" s="112">
        <v>9137.6</v>
      </c>
      <c r="E57" s="51" t="s">
        <v>32</v>
      </c>
      <c r="F57" s="52"/>
      <c r="G57" s="408"/>
      <c r="I57" s="408"/>
      <c r="N57" s="433"/>
    </row>
    <row r="58" spans="2:14" outlineLevel="1" x14ac:dyDescent="0.25">
      <c r="B58" s="403"/>
      <c r="C58" s="111" t="s">
        <v>106</v>
      </c>
      <c r="D58" s="112">
        <v>9137.6</v>
      </c>
      <c r="E58" s="51" t="s">
        <v>32</v>
      </c>
      <c r="F58" s="52"/>
      <c r="G58" s="408"/>
      <c r="I58" s="408"/>
      <c r="N58" s="433"/>
    </row>
    <row r="59" spans="2:14" outlineLevel="1" x14ac:dyDescent="0.25">
      <c r="B59" s="403"/>
      <c r="C59" s="111" t="s">
        <v>107</v>
      </c>
      <c r="D59" s="112">
        <v>4613.12</v>
      </c>
      <c r="E59" s="51" t="s">
        <v>32</v>
      </c>
      <c r="F59" s="52"/>
      <c r="G59" s="407"/>
      <c r="I59" s="408"/>
      <c r="L59" s="114"/>
      <c r="M59" s="406"/>
      <c r="N59" s="433"/>
    </row>
    <row r="60" spans="2:14" outlineLevel="1" x14ac:dyDescent="0.25">
      <c r="B60" s="403"/>
      <c r="C60" s="111" t="s">
        <v>108</v>
      </c>
      <c r="D60" s="112">
        <v>4613.12</v>
      </c>
      <c r="E60" s="51" t="s">
        <v>32</v>
      </c>
      <c r="F60" s="52"/>
      <c r="G60" s="407"/>
      <c r="I60" s="408"/>
      <c r="L60" s="114"/>
      <c r="M60" s="406"/>
      <c r="N60" s="433"/>
    </row>
    <row r="61" spans="2:14" outlineLevel="1" x14ac:dyDescent="0.25">
      <c r="B61" s="403"/>
      <c r="C61" s="111" t="s">
        <v>109</v>
      </c>
      <c r="D61" s="112">
        <v>4613.12</v>
      </c>
      <c r="E61" s="51" t="s">
        <v>32</v>
      </c>
      <c r="F61" s="52"/>
      <c r="G61" s="407"/>
      <c r="L61" s="114"/>
      <c r="M61" s="406"/>
      <c r="N61" s="433"/>
    </row>
    <row r="62" spans="2:14" outlineLevel="1" x14ac:dyDescent="0.25">
      <c r="B62" s="403"/>
      <c r="C62" s="111" t="s">
        <v>110</v>
      </c>
      <c r="D62" s="112">
        <v>720</v>
      </c>
      <c r="E62" s="51" t="s">
        <v>32</v>
      </c>
      <c r="F62" s="52"/>
      <c r="G62" s="408"/>
      <c r="I62" s="408"/>
      <c r="M62" s="406"/>
      <c r="N62" s="433"/>
    </row>
    <row r="63" spans="2:14" outlineLevel="1" x14ac:dyDescent="0.25">
      <c r="B63" s="403"/>
      <c r="C63" s="111" t="s">
        <v>111</v>
      </c>
      <c r="D63" s="112">
        <v>27242.645664</v>
      </c>
      <c r="E63" s="51" t="s">
        <v>32</v>
      </c>
      <c r="F63" s="52"/>
      <c r="G63" s="408"/>
    </row>
    <row r="64" spans="2:14" outlineLevel="1" x14ac:dyDescent="0.25">
      <c r="B64" s="403"/>
      <c r="C64" s="111" t="s">
        <v>112</v>
      </c>
      <c r="D64" s="112">
        <v>3913.8239999999996</v>
      </c>
      <c r="E64" s="51" t="s">
        <v>32</v>
      </c>
      <c r="F64" s="52"/>
      <c r="G64" s="408"/>
    </row>
    <row r="65" spans="2:9" outlineLevel="1" x14ac:dyDescent="0.25">
      <c r="B65" s="403"/>
      <c r="C65" s="111" t="s">
        <v>113</v>
      </c>
      <c r="D65" s="112">
        <v>6201.3120000000008</v>
      </c>
      <c r="E65" s="51" t="s">
        <v>32</v>
      </c>
      <c r="F65" s="52"/>
      <c r="G65" s="408"/>
    </row>
    <row r="66" spans="2:9" x14ac:dyDescent="0.25">
      <c r="B66" s="115" t="s">
        <v>114</v>
      </c>
      <c r="C66" s="116" t="s">
        <v>115</v>
      </c>
      <c r="D66" s="22">
        <f>SUM(D67,D69,D138,D155,D183,D218,D276,D284,D325,D331)</f>
        <v>5805295.9943313189</v>
      </c>
      <c r="E66" s="23"/>
      <c r="F66" s="24"/>
    </row>
    <row r="67" spans="2:9" outlineLevel="1" x14ac:dyDescent="0.25">
      <c r="B67" s="104" t="s">
        <v>116</v>
      </c>
      <c r="C67" s="117" t="s">
        <v>117</v>
      </c>
      <c r="D67" s="118">
        <f>SUM(D68)</f>
        <v>107692.8</v>
      </c>
      <c r="E67" s="119"/>
      <c r="F67" s="120"/>
    </row>
    <row r="68" spans="2:9" outlineLevel="1" x14ac:dyDescent="0.25">
      <c r="B68" s="121"/>
      <c r="C68" s="122" t="s">
        <v>118</v>
      </c>
      <c r="D68" s="123">
        <v>107692.8</v>
      </c>
      <c r="E68" s="51"/>
      <c r="F68" s="52"/>
    </row>
    <row r="69" spans="2:9" outlineLevel="1" x14ac:dyDescent="0.25">
      <c r="B69" s="104" t="s">
        <v>119</v>
      </c>
      <c r="C69" s="117" t="s">
        <v>120</v>
      </c>
      <c r="D69" s="118">
        <f>SUM(D70:D137)</f>
        <v>672270.14647919964</v>
      </c>
      <c r="E69" s="119"/>
      <c r="F69" s="120"/>
    </row>
    <row r="70" spans="2:9" outlineLevel="1" x14ac:dyDescent="0.25">
      <c r="B70" s="124"/>
      <c r="C70" s="125" t="s">
        <v>121</v>
      </c>
      <c r="D70" s="126" t="s">
        <v>122</v>
      </c>
      <c r="E70" s="127"/>
      <c r="F70" s="128"/>
    </row>
    <row r="71" spans="2:9" outlineLevel="1" x14ac:dyDescent="0.25">
      <c r="B71" s="121"/>
      <c r="C71" s="129" t="s">
        <v>123</v>
      </c>
      <c r="D71" s="123">
        <v>1785.6</v>
      </c>
      <c r="E71" s="51"/>
      <c r="F71" s="52"/>
      <c r="I71" s="408"/>
    </row>
    <row r="72" spans="2:9" outlineLevel="1" x14ac:dyDescent="0.25">
      <c r="B72" s="121"/>
      <c r="C72" s="129" t="s">
        <v>124</v>
      </c>
      <c r="D72" s="123">
        <v>345.59999999999997</v>
      </c>
      <c r="E72" s="51"/>
      <c r="F72" s="52"/>
    </row>
    <row r="73" spans="2:9" outlineLevel="1" x14ac:dyDescent="0.25">
      <c r="B73" s="121"/>
      <c r="C73" s="129" t="s">
        <v>125</v>
      </c>
      <c r="D73" s="123">
        <v>16344.1728</v>
      </c>
      <c r="E73" s="51"/>
      <c r="F73" s="52"/>
    </row>
    <row r="74" spans="2:9" outlineLevel="1" x14ac:dyDescent="0.25">
      <c r="B74" s="121"/>
      <c r="C74" s="129" t="s">
        <v>126</v>
      </c>
      <c r="D74" s="123">
        <v>144</v>
      </c>
      <c r="E74" s="51"/>
      <c r="F74" s="52"/>
    </row>
    <row r="75" spans="2:9" outlineLevel="1" x14ac:dyDescent="0.25">
      <c r="B75" s="121"/>
      <c r="C75" s="129" t="s">
        <v>127</v>
      </c>
      <c r="D75" s="123">
        <v>177596.16684799996</v>
      </c>
      <c r="E75" s="51"/>
      <c r="F75" s="52"/>
    </row>
    <row r="76" spans="2:9" outlineLevel="1" x14ac:dyDescent="0.25">
      <c r="B76" s="121"/>
      <c r="C76" s="129" t="s">
        <v>128</v>
      </c>
      <c r="D76" s="123">
        <v>1</v>
      </c>
      <c r="E76" s="51"/>
      <c r="F76" s="52"/>
    </row>
    <row r="77" spans="2:9" outlineLevel="1" x14ac:dyDescent="0.25">
      <c r="B77" s="124"/>
      <c r="C77" s="125" t="s">
        <v>129</v>
      </c>
      <c r="D77" s="126" t="s">
        <v>122</v>
      </c>
      <c r="E77" s="127"/>
      <c r="F77" s="128"/>
    </row>
    <row r="78" spans="2:9" outlineLevel="1" x14ac:dyDescent="0.25">
      <c r="B78" s="121"/>
      <c r="C78" s="129" t="s">
        <v>130</v>
      </c>
      <c r="D78" s="123">
        <v>8306.0927999999985</v>
      </c>
      <c r="E78" s="51"/>
      <c r="F78" s="52"/>
    </row>
    <row r="79" spans="2:9" outlineLevel="1" x14ac:dyDescent="0.25">
      <c r="B79" s="121"/>
      <c r="C79" s="129" t="s">
        <v>131</v>
      </c>
      <c r="D79" s="123">
        <v>25359.105600000003</v>
      </c>
      <c r="E79" s="51"/>
      <c r="F79" s="52"/>
    </row>
    <row r="80" spans="2:9" outlineLevel="1" x14ac:dyDescent="0.25">
      <c r="B80" s="121"/>
      <c r="C80" s="129" t="s">
        <v>132</v>
      </c>
      <c r="D80" s="123">
        <v>2851.2</v>
      </c>
      <c r="E80" s="51"/>
      <c r="F80" s="52"/>
    </row>
    <row r="81" spans="2:6" outlineLevel="1" x14ac:dyDescent="0.25">
      <c r="B81" s="121"/>
      <c r="C81" s="129" t="s">
        <v>133</v>
      </c>
      <c r="D81" s="123">
        <v>15874.3264</v>
      </c>
      <c r="E81" s="51"/>
      <c r="F81" s="52"/>
    </row>
    <row r="82" spans="2:6" outlineLevel="1" x14ac:dyDescent="0.25">
      <c r="B82" s="121"/>
      <c r="C82" s="129" t="s">
        <v>134</v>
      </c>
      <c r="D82" s="123">
        <v>1</v>
      </c>
      <c r="E82" s="51"/>
      <c r="F82" s="52"/>
    </row>
    <row r="83" spans="2:6" outlineLevel="1" x14ac:dyDescent="0.25">
      <c r="B83" s="121"/>
      <c r="C83" s="129" t="s">
        <v>135</v>
      </c>
      <c r="D83" s="123">
        <v>1</v>
      </c>
      <c r="E83" s="51"/>
      <c r="F83" s="52"/>
    </row>
    <row r="84" spans="2:6" outlineLevel="1" x14ac:dyDescent="0.25">
      <c r="B84" s="124"/>
      <c r="C84" s="125" t="s">
        <v>136</v>
      </c>
      <c r="D84" s="126" t="s">
        <v>122</v>
      </c>
      <c r="E84" s="127"/>
      <c r="F84" s="128"/>
    </row>
    <row r="85" spans="2:6" outlineLevel="1" x14ac:dyDescent="0.25">
      <c r="B85" s="124"/>
      <c r="C85" s="130" t="s">
        <v>137</v>
      </c>
      <c r="D85" s="126" t="s">
        <v>122</v>
      </c>
      <c r="E85" s="127"/>
      <c r="F85" s="128"/>
    </row>
    <row r="86" spans="2:6" outlineLevel="1" x14ac:dyDescent="0.25">
      <c r="B86" s="121"/>
      <c r="C86" s="129" t="s">
        <v>138</v>
      </c>
      <c r="D86" s="123">
        <v>61509.84</v>
      </c>
      <c r="E86" s="51"/>
      <c r="F86" s="52"/>
    </row>
    <row r="87" spans="2:6" outlineLevel="1" x14ac:dyDescent="0.25">
      <c r="B87" s="121"/>
      <c r="C87" s="129" t="s">
        <v>139</v>
      </c>
      <c r="D87" s="123">
        <v>27985</v>
      </c>
      <c r="E87" s="51"/>
      <c r="F87" s="52"/>
    </row>
    <row r="88" spans="2:6" outlineLevel="1" x14ac:dyDescent="0.25">
      <c r="B88" s="121"/>
      <c r="C88" s="129" t="s">
        <v>140</v>
      </c>
      <c r="D88" s="123">
        <v>6527</v>
      </c>
      <c r="E88" s="51"/>
      <c r="F88" s="52"/>
    </row>
    <row r="89" spans="2:6" outlineLevel="1" x14ac:dyDescent="0.25">
      <c r="B89" s="121"/>
      <c r="C89" s="129" t="s">
        <v>141</v>
      </c>
      <c r="D89" s="123">
        <v>1</v>
      </c>
      <c r="E89" s="51"/>
      <c r="F89" s="52"/>
    </row>
    <row r="90" spans="2:6" outlineLevel="1" x14ac:dyDescent="0.25">
      <c r="B90" s="124"/>
      <c r="C90" s="130" t="s">
        <v>142</v>
      </c>
      <c r="D90" s="126" t="s">
        <v>122</v>
      </c>
      <c r="E90" s="127"/>
      <c r="F90" s="128"/>
    </row>
    <row r="91" spans="2:6" outlineLevel="1" x14ac:dyDescent="0.25">
      <c r="B91" s="121"/>
      <c r="C91" s="129" t="s">
        <v>143</v>
      </c>
      <c r="D91" s="123">
        <v>4723.2</v>
      </c>
      <c r="E91" s="51"/>
      <c r="F91" s="52"/>
    </row>
    <row r="92" spans="2:6" outlineLevel="1" x14ac:dyDescent="0.25">
      <c r="B92" s="121"/>
      <c r="C92" s="129" t="s">
        <v>144</v>
      </c>
      <c r="D92" s="123">
        <v>16665.599999999999</v>
      </c>
      <c r="E92" s="51"/>
      <c r="F92" s="52"/>
    </row>
    <row r="93" spans="2:6" outlineLevel="1" x14ac:dyDescent="0.25">
      <c r="B93" s="121"/>
      <c r="C93" s="129" t="s">
        <v>145</v>
      </c>
      <c r="D93" s="123">
        <v>17548.8</v>
      </c>
      <c r="E93" s="51"/>
      <c r="F93" s="52"/>
    </row>
    <row r="94" spans="2:6" outlineLevel="1" x14ac:dyDescent="0.25">
      <c r="B94" s="121"/>
      <c r="C94" s="129" t="s">
        <v>146</v>
      </c>
      <c r="D94" s="123">
        <v>10054.464</v>
      </c>
      <c r="E94" s="51"/>
      <c r="F94" s="52"/>
    </row>
    <row r="95" spans="2:6" outlineLevel="1" x14ac:dyDescent="0.25">
      <c r="B95" s="124"/>
      <c r="C95" s="130" t="s">
        <v>147</v>
      </c>
      <c r="D95" s="126" t="s">
        <v>122</v>
      </c>
      <c r="E95" s="127"/>
      <c r="F95" s="128"/>
    </row>
    <row r="96" spans="2:6" outlineLevel="1" x14ac:dyDescent="0.25">
      <c r="B96" s="121"/>
      <c r="C96" s="129" t="s">
        <v>148</v>
      </c>
      <c r="D96" s="123">
        <v>750.67999999999984</v>
      </c>
      <c r="E96" s="51"/>
      <c r="F96" s="52"/>
    </row>
    <row r="97" spans="2:6" outlineLevel="1" x14ac:dyDescent="0.25">
      <c r="B97" s="121"/>
      <c r="C97" s="129" t="s">
        <v>149</v>
      </c>
      <c r="D97" s="123">
        <v>1</v>
      </c>
      <c r="E97" s="51"/>
      <c r="F97" s="52"/>
    </row>
    <row r="98" spans="2:6" outlineLevel="1" x14ac:dyDescent="0.25">
      <c r="B98" s="124"/>
      <c r="C98" s="130" t="s">
        <v>150</v>
      </c>
      <c r="D98" s="126" t="s">
        <v>122</v>
      </c>
      <c r="E98" s="127"/>
      <c r="F98" s="128"/>
    </row>
    <row r="99" spans="2:6" outlineLevel="1" x14ac:dyDescent="0.25">
      <c r="B99" s="121"/>
      <c r="C99" s="129" t="s">
        <v>151</v>
      </c>
      <c r="D99" s="123">
        <v>6326.5536000000011</v>
      </c>
      <c r="E99" s="51"/>
      <c r="F99" s="52"/>
    </row>
    <row r="100" spans="2:6" outlineLevel="1" x14ac:dyDescent="0.25">
      <c r="B100" s="121"/>
      <c r="C100" s="129" t="s">
        <v>152</v>
      </c>
      <c r="D100" s="123">
        <v>8793.6</v>
      </c>
      <c r="E100" s="51"/>
      <c r="F100" s="52"/>
    </row>
    <row r="101" spans="2:6" outlineLevel="1" x14ac:dyDescent="0.25">
      <c r="B101" s="121"/>
      <c r="C101" s="129" t="s">
        <v>153</v>
      </c>
      <c r="D101" s="123">
        <v>9643.0079999999998</v>
      </c>
      <c r="E101" s="51"/>
      <c r="F101" s="52"/>
    </row>
    <row r="102" spans="2:6" outlineLevel="1" x14ac:dyDescent="0.25">
      <c r="B102" s="121"/>
      <c r="C102" s="129" t="s">
        <v>154</v>
      </c>
      <c r="D102" s="123">
        <v>2879</v>
      </c>
      <c r="E102" s="51"/>
      <c r="F102" s="52"/>
    </row>
    <row r="103" spans="2:6" outlineLevel="1" x14ac:dyDescent="0.25">
      <c r="B103" s="121"/>
      <c r="C103" s="129" t="s">
        <v>155</v>
      </c>
      <c r="D103" s="123">
        <v>1</v>
      </c>
      <c r="E103" s="51"/>
      <c r="F103" s="52"/>
    </row>
    <row r="104" spans="2:6" outlineLevel="1" x14ac:dyDescent="0.25">
      <c r="B104" s="124"/>
      <c r="C104" s="125" t="s">
        <v>156</v>
      </c>
      <c r="D104" s="126" t="s">
        <v>122</v>
      </c>
      <c r="E104" s="127"/>
      <c r="F104" s="128"/>
    </row>
    <row r="105" spans="2:6" outlineLevel="1" x14ac:dyDescent="0.25">
      <c r="B105" s="121"/>
      <c r="C105" s="129" t="s">
        <v>157</v>
      </c>
      <c r="D105" s="123">
        <v>28729.493279999999</v>
      </c>
      <c r="E105" s="51"/>
      <c r="F105" s="52"/>
    </row>
    <row r="106" spans="2:6" outlineLevel="1" x14ac:dyDescent="0.25">
      <c r="B106" s="124"/>
      <c r="C106" s="130" t="s">
        <v>158</v>
      </c>
      <c r="D106" s="126" t="s">
        <v>122</v>
      </c>
      <c r="E106" s="127"/>
      <c r="F106" s="128"/>
    </row>
    <row r="107" spans="2:6" outlineLevel="1" x14ac:dyDescent="0.25">
      <c r="B107" s="121"/>
      <c r="C107" s="129" t="s">
        <v>159</v>
      </c>
      <c r="D107" s="123">
        <v>87625.063567199992</v>
      </c>
      <c r="E107" s="51"/>
      <c r="F107" s="52"/>
    </row>
    <row r="108" spans="2:6" outlineLevel="1" x14ac:dyDescent="0.25">
      <c r="B108" s="121"/>
      <c r="C108" s="129" t="s">
        <v>160</v>
      </c>
      <c r="D108" s="131">
        <f>133070.963904-103000</f>
        <v>30070.963904000004</v>
      </c>
      <c r="E108" s="51"/>
      <c r="F108" s="52"/>
    </row>
    <row r="109" spans="2:6" outlineLevel="1" x14ac:dyDescent="0.25">
      <c r="B109" s="121"/>
      <c r="C109" s="129" t="s">
        <v>161</v>
      </c>
      <c r="D109" s="123">
        <v>24365.144</v>
      </c>
      <c r="E109" s="51"/>
      <c r="F109" s="52"/>
    </row>
    <row r="110" spans="2:6" outlineLevel="1" x14ac:dyDescent="0.25">
      <c r="B110" s="121"/>
      <c r="C110" s="129" t="s">
        <v>162</v>
      </c>
      <c r="D110" s="123">
        <v>1</v>
      </c>
      <c r="E110" s="51"/>
      <c r="F110" s="52"/>
    </row>
    <row r="111" spans="2:6" outlineLevel="1" x14ac:dyDescent="0.25">
      <c r="B111" s="124"/>
      <c r="C111" s="132" t="s">
        <v>163</v>
      </c>
      <c r="D111" s="126"/>
      <c r="E111" s="127"/>
      <c r="F111" s="128"/>
    </row>
    <row r="112" spans="2:6" outlineLevel="1" x14ac:dyDescent="0.25">
      <c r="B112" s="121"/>
      <c r="C112" s="129" t="s">
        <v>164</v>
      </c>
      <c r="D112" s="123">
        <v>11260.8</v>
      </c>
      <c r="E112" s="51"/>
      <c r="F112" s="52"/>
    </row>
    <row r="113" spans="2:6" outlineLevel="1" x14ac:dyDescent="0.25">
      <c r="B113" s="121"/>
      <c r="C113" s="129" t="s">
        <v>165</v>
      </c>
      <c r="D113" s="123">
        <v>1737.6</v>
      </c>
      <c r="E113" s="51"/>
      <c r="F113" s="52"/>
    </row>
    <row r="114" spans="2:6" outlineLevel="1" x14ac:dyDescent="0.25">
      <c r="B114" s="121"/>
      <c r="C114" s="129" t="s">
        <v>166</v>
      </c>
      <c r="D114" s="123">
        <v>2515.1999999999998</v>
      </c>
      <c r="E114" s="51"/>
      <c r="F114" s="52"/>
    </row>
    <row r="115" spans="2:6" outlineLevel="1" x14ac:dyDescent="0.25">
      <c r="B115" s="121"/>
      <c r="C115" s="129" t="s">
        <v>167</v>
      </c>
      <c r="D115" s="123">
        <v>4416</v>
      </c>
      <c r="E115" s="51"/>
      <c r="F115" s="52"/>
    </row>
    <row r="116" spans="2:6" outlineLevel="1" x14ac:dyDescent="0.25">
      <c r="B116" s="121"/>
      <c r="C116" s="129" t="s">
        <v>168</v>
      </c>
      <c r="D116" s="123">
        <v>14976</v>
      </c>
      <c r="E116" s="51"/>
      <c r="F116" s="52"/>
    </row>
    <row r="117" spans="2:6" outlineLevel="1" x14ac:dyDescent="0.25">
      <c r="B117" s="121"/>
      <c r="C117" s="129" t="s">
        <v>169</v>
      </c>
      <c r="D117" s="123">
        <v>2884.5407999999998</v>
      </c>
      <c r="E117" s="51"/>
      <c r="F117" s="52"/>
    </row>
    <row r="118" spans="2:6" outlineLevel="1" x14ac:dyDescent="0.25">
      <c r="B118" s="121"/>
      <c r="C118" s="129" t="s">
        <v>170</v>
      </c>
      <c r="D118" s="123">
        <v>288</v>
      </c>
      <c r="E118" s="51"/>
      <c r="F118" s="52"/>
    </row>
    <row r="119" spans="2:6" outlineLevel="1" x14ac:dyDescent="0.25">
      <c r="B119" s="124"/>
      <c r="C119" s="130" t="s">
        <v>171</v>
      </c>
      <c r="D119" s="126" t="s">
        <v>122</v>
      </c>
      <c r="E119" s="127"/>
      <c r="F119" s="128"/>
    </row>
    <row r="120" spans="2:6" outlineLevel="1" x14ac:dyDescent="0.25">
      <c r="B120" s="121"/>
      <c r="C120" s="129" t="s">
        <v>172</v>
      </c>
      <c r="D120" s="123">
        <v>1440</v>
      </c>
      <c r="E120" s="51"/>
      <c r="F120" s="52"/>
    </row>
    <row r="121" spans="2:6" outlineLevel="1" x14ac:dyDescent="0.25">
      <c r="B121" s="121"/>
      <c r="C121" s="129" t="s">
        <v>173</v>
      </c>
      <c r="D121" s="123">
        <v>6183.3676799999994</v>
      </c>
      <c r="E121" s="51"/>
      <c r="F121" s="52"/>
    </row>
    <row r="122" spans="2:6" outlineLevel="1" x14ac:dyDescent="0.25">
      <c r="B122" s="121"/>
      <c r="C122" s="129" t="s">
        <v>174</v>
      </c>
      <c r="D122" s="123">
        <v>15613.439999999999</v>
      </c>
      <c r="E122" s="51"/>
      <c r="F122" s="52"/>
    </row>
    <row r="123" spans="2:6" outlineLevel="1" x14ac:dyDescent="0.25">
      <c r="B123" s="121"/>
      <c r="C123" s="129" t="s">
        <v>175</v>
      </c>
      <c r="D123" s="123">
        <v>336</v>
      </c>
      <c r="E123" s="51"/>
      <c r="F123" s="52"/>
    </row>
    <row r="124" spans="2:6" outlineLevel="1" x14ac:dyDescent="0.25">
      <c r="B124" s="121"/>
      <c r="C124" s="129" t="s">
        <v>176</v>
      </c>
      <c r="D124" s="123">
        <v>691.19999999999993</v>
      </c>
      <c r="E124" s="51"/>
      <c r="F124" s="52"/>
    </row>
    <row r="125" spans="2:6" outlineLevel="1" x14ac:dyDescent="0.25">
      <c r="B125" s="124"/>
      <c r="C125" s="130" t="s">
        <v>177</v>
      </c>
      <c r="D125" s="126" t="s">
        <v>122</v>
      </c>
      <c r="E125" s="127"/>
      <c r="F125" s="128"/>
    </row>
    <row r="126" spans="2:6" outlineLevel="1" x14ac:dyDescent="0.25">
      <c r="B126" s="121"/>
      <c r="C126" s="129" t="s">
        <v>178</v>
      </c>
      <c r="D126" s="123">
        <v>1497.6</v>
      </c>
      <c r="E126" s="51"/>
      <c r="F126" s="52"/>
    </row>
    <row r="127" spans="2:6" outlineLevel="1" x14ac:dyDescent="0.25">
      <c r="B127" s="121"/>
      <c r="C127" s="129" t="s">
        <v>179</v>
      </c>
      <c r="D127" s="123">
        <v>1792.26432</v>
      </c>
      <c r="E127" s="51"/>
      <c r="F127" s="52"/>
    </row>
    <row r="128" spans="2:6" outlineLevel="1" x14ac:dyDescent="0.25">
      <c r="B128" s="121"/>
      <c r="C128" s="129" t="s">
        <v>180</v>
      </c>
      <c r="D128" s="123">
        <v>3818.8799999999992</v>
      </c>
      <c r="E128" s="51"/>
      <c r="F128" s="52"/>
    </row>
    <row r="129" spans="2:6" outlineLevel="1" x14ac:dyDescent="0.25">
      <c r="B129" s="121"/>
      <c r="C129" s="129" t="s">
        <v>181</v>
      </c>
      <c r="D129" s="123">
        <v>2648.5248000000001</v>
      </c>
      <c r="E129" s="51"/>
      <c r="F129" s="52"/>
    </row>
    <row r="130" spans="2:6" outlineLevel="1" x14ac:dyDescent="0.25">
      <c r="B130" s="124"/>
      <c r="C130" s="130" t="s">
        <v>182</v>
      </c>
      <c r="D130" s="126" t="s">
        <v>122</v>
      </c>
      <c r="E130" s="127"/>
      <c r="F130" s="128"/>
    </row>
    <row r="131" spans="2:6" outlineLevel="1" x14ac:dyDescent="0.25">
      <c r="B131" s="121"/>
      <c r="C131" s="129" t="s">
        <v>183</v>
      </c>
      <c r="D131" s="123">
        <v>633.59999999999991</v>
      </c>
      <c r="E131" s="51"/>
      <c r="F131" s="52"/>
    </row>
    <row r="132" spans="2:6" outlineLevel="1" x14ac:dyDescent="0.25">
      <c r="B132" s="121"/>
      <c r="C132" s="129" t="s">
        <v>184</v>
      </c>
      <c r="D132" s="123">
        <v>966.45407999999998</v>
      </c>
      <c r="E132" s="51"/>
      <c r="F132" s="52"/>
    </row>
    <row r="133" spans="2:6" outlineLevel="1" x14ac:dyDescent="0.25">
      <c r="B133" s="121"/>
      <c r="C133" s="129" t="s">
        <v>185</v>
      </c>
      <c r="D133" s="123">
        <v>1536</v>
      </c>
      <c r="E133" s="51"/>
      <c r="F133" s="52"/>
    </row>
    <row r="134" spans="2:6" outlineLevel="1" x14ac:dyDescent="0.25">
      <c r="B134" s="121"/>
      <c r="C134" s="129" t="s">
        <v>186</v>
      </c>
      <c r="D134" s="123">
        <v>1152</v>
      </c>
      <c r="E134" s="51"/>
      <c r="F134" s="52"/>
    </row>
    <row r="135" spans="2:6" outlineLevel="1" x14ac:dyDescent="0.25">
      <c r="B135" s="121"/>
      <c r="C135" s="129" t="s">
        <v>187</v>
      </c>
      <c r="D135" s="123">
        <v>1344</v>
      </c>
      <c r="E135" s="51"/>
      <c r="F135" s="52"/>
    </row>
    <row r="136" spans="2:6" outlineLevel="1" x14ac:dyDescent="0.25">
      <c r="B136" s="121"/>
      <c r="C136" s="129" t="s">
        <v>188</v>
      </c>
      <c r="D136" s="123">
        <v>1727</v>
      </c>
      <c r="E136" s="51"/>
      <c r="F136" s="52"/>
    </row>
    <row r="137" spans="2:6" outlineLevel="1" x14ac:dyDescent="0.25">
      <c r="B137" s="121"/>
      <c r="C137" s="129" t="s">
        <v>189</v>
      </c>
      <c r="D137" s="123">
        <v>1</v>
      </c>
      <c r="E137" s="51"/>
      <c r="F137" s="52"/>
    </row>
    <row r="138" spans="2:6" outlineLevel="1" x14ac:dyDescent="0.25">
      <c r="B138" s="104" t="s">
        <v>190</v>
      </c>
      <c r="C138" s="117" t="s">
        <v>191</v>
      </c>
      <c r="D138" s="118">
        <f>SUM(D139:D154)</f>
        <v>73723.084799999997</v>
      </c>
      <c r="E138" s="119"/>
      <c r="F138" s="120"/>
    </row>
    <row r="139" spans="2:6" outlineLevel="1" x14ac:dyDescent="0.25">
      <c r="B139" s="124"/>
      <c r="C139" s="125" t="s">
        <v>192</v>
      </c>
      <c r="D139" s="126" t="s">
        <v>122</v>
      </c>
      <c r="E139" s="127"/>
      <c r="F139" s="128"/>
    </row>
    <row r="140" spans="2:6" outlineLevel="1" x14ac:dyDescent="0.25">
      <c r="B140" s="121"/>
      <c r="C140" s="129" t="s">
        <v>193</v>
      </c>
      <c r="D140" s="123">
        <v>313.32479999999998</v>
      </c>
      <c r="E140" s="51"/>
      <c r="F140" s="52"/>
    </row>
    <row r="141" spans="2:6" outlineLevel="1" x14ac:dyDescent="0.25">
      <c r="B141" s="121"/>
      <c r="C141" s="129" t="s">
        <v>194</v>
      </c>
      <c r="D141" s="123">
        <v>4559.6880000000001</v>
      </c>
      <c r="E141" s="51"/>
      <c r="F141" s="52"/>
    </row>
    <row r="142" spans="2:6" outlineLevel="1" x14ac:dyDescent="0.25">
      <c r="B142" s="121"/>
      <c r="C142" s="129" t="s">
        <v>195</v>
      </c>
      <c r="D142" s="123">
        <v>1</v>
      </c>
      <c r="E142" s="51"/>
      <c r="F142" s="52"/>
    </row>
    <row r="143" spans="2:6" outlineLevel="1" x14ac:dyDescent="0.25">
      <c r="B143" s="121"/>
      <c r="C143" s="129" t="s">
        <v>196</v>
      </c>
      <c r="D143" s="123">
        <v>1</v>
      </c>
      <c r="E143" s="51"/>
      <c r="F143" s="52"/>
    </row>
    <row r="144" spans="2:6" outlineLevel="1" x14ac:dyDescent="0.25">
      <c r="B144" s="121"/>
      <c r="C144" s="129" t="s">
        <v>197</v>
      </c>
      <c r="D144" s="123">
        <v>1</v>
      </c>
      <c r="E144" s="51"/>
      <c r="F144" s="52"/>
    </row>
    <row r="145" spans="2:6" outlineLevel="1" x14ac:dyDescent="0.25">
      <c r="B145" s="121"/>
      <c r="C145" s="129" t="s">
        <v>198</v>
      </c>
      <c r="D145" s="123">
        <v>19307.904000000002</v>
      </c>
      <c r="E145" s="51"/>
      <c r="F145" s="52"/>
    </row>
    <row r="146" spans="2:6" outlineLevel="1" x14ac:dyDescent="0.25">
      <c r="B146" s="121"/>
      <c r="C146" s="129" t="s">
        <v>199</v>
      </c>
      <c r="D146" s="123">
        <v>3638.1696000000002</v>
      </c>
      <c r="E146" s="51"/>
      <c r="F146" s="52"/>
    </row>
    <row r="147" spans="2:6" ht="30" outlineLevel="1" x14ac:dyDescent="0.25">
      <c r="B147" s="121"/>
      <c r="C147" s="129" t="s">
        <v>200</v>
      </c>
      <c r="D147" s="123">
        <v>15775.64</v>
      </c>
      <c r="E147" s="51"/>
      <c r="F147" s="52"/>
    </row>
    <row r="148" spans="2:6" outlineLevel="1" x14ac:dyDescent="0.25">
      <c r="B148" s="121"/>
      <c r="C148" s="129" t="s">
        <v>201</v>
      </c>
      <c r="D148" s="123">
        <v>1</v>
      </c>
      <c r="E148" s="51"/>
      <c r="F148" s="52"/>
    </row>
    <row r="149" spans="2:6" outlineLevel="1" x14ac:dyDescent="0.25">
      <c r="B149" s="124"/>
      <c r="C149" s="125" t="s">
        <v>202</v>
      </c>
      <c r="D149" s="126" t="s">
        <v>122</v>
      </c>
      <c r="E149" s="127"/>
      <c r="F149" s="128"/>
    </row>
    <row r="150" spans="2:6" outlineLevel="1" x14ac:dyDescent="0.25">
      <c r="B150" s="121"/>
      <c r="C150" s="129" t="s">
        <v>203</v>
      </c>
      <c r="D150" s="123">
        <v>12055.984319999998</v>
      </c>
      <c r="E150" s="51"/>
      <c r="F150" s="52"/>
    </row>
    <row r="151" spans="2:6" outlineLevel="1" x14ac:dyDescent="0.25">
      <c r="B151" s="121"/>
      <c r="C151" s="129" t="s">
        <v>194</v>
      </c>
      <c r="D151" s="123">
        <v>9785.4719999999998</v>
      </c>
      <c r="E151" s="51"/>
      <c r="F151" s="52"/>
    </row>
    <row r="152" spans="2:6" ht="30" outlineLevel="1" x14ac:dyDescent="0.25">
      <c r="B152" s="121"/>
      <c r="C152" s="129" t="s">
        <v>204</v>
      </c>
      <c r="D152" s="123">
        <v>4099.5072</v>
      </c>
      <c r="E152" s="51"/>
      <c r="F152" s="52"/>
    </row>
    <row r="153" spans="2:6" outlineLevel="1" x14ac:dyDescent="0.25">
      <c r="B153" s="121"/>
      <c r="C153" s="129" t="s">
        <v>205</v>
      </c>
      <c r="D153" s="123">
        <v>4144.9948800000002</v>
      </c>
      <c r="E153" s="51"/>
      <c r="F153" s="52"/>
    </row>
    <row r="154" spans="2:6" outlineLevel="1" x14ac:dyDescent="0.25">
      <c r="B154" s="121"/>
      <c r="C154" s="129" t="s">
        <v>206</v>
      </c>
      <c r="D154" s="123">
        <v>38.4</v>
      </c>
      <c r="E154" s="51"/>
      <c r="F154" s="52"/>
    </row>
    <row r="155" spans="2:6" outlineLevel="1" x14ac:dyDescent="0.25">
      <c r="B155" s="104" t="s">
        <v>207</v>
      </c>
      <c r="C155" s="117" t="s">
        <v>208</v>
      </c>
      <c r="D155" s="118">
        <f>SUM(D156:D182)</f>
        <v>344315.1248928</v>
      </c>
      <c r="E155" s="119"/>
      <c r="F155" s="120"/>
    </row>
    <row r="156" spans="2:6" outlineLevel="1" x14ac:dyDescent="0.25">
      <c r="B156" s="124"/>
      <c r="C156" s="125" t="s">
        <v>209</v>
      </c>
      <c r="D156" s="126" t="s">
        <v>122</v>
      </c>
      <c r="E156" s="127"/>
      <c r="F156" s="128"/>
    </row>
    <row r="157" spans="2:6" outlineLevel="1" x14ac:dyDescent="0.25">
      <c r="B157" s="124"/>
      <c r="C157" s="130" t="s">
        <v>210</v>
      </c>
      <c r="D157" s="126" t="s">
        <v>122</v>
      </c>
      <c r="E157" s="127"/>
      <c r="F157" s="128"/>
    </row>
    <row r="158" spans="2:6" outlineLevel="1" x14ac:dyDescent="0.25">
      <c r="B158" s="121"/>
      <c r="C158" s="129" t="s">
        <v>211</v>
      </c>
      <c r="D158" s="123">
        <v>28992</v>
      </c>
      <c r="E158" s="51"/>
      <c r="F158" s="52"/>
    </row>
    <row r="159" spans="2:6" outlineLevel="1" x14ac:dyDescent="0.25">
      <c r="B159" s="124"/>
      <c r="C159" s="130" t="s">
        <v>195</v>
      </c>
      <c r="D159" s="126" t="s">
        <v>122</v>
      </c>
      <c r="E159" s="127"/>
      <c r="F159" s="128"/>
    </row>
    <row r="160" spans="2:6" outlineLevel="1" x14ac:dyDescent="0.25">
      <c r="B160" s="121"/>
      <c r="C160" s="129" t="s">
        <v>212</v>
      </c>
      <c r="D160" s="123">
        <v>715.39199999999983</v>
      </c>
      <c r="E160" s="51"/>
      <c r="F160" s="52"/>
    </row>
    <row r="161" spans="2:6" outlineLevel="1" x14ac:dyDescent="0.25">
      <c r="B161" s="121"/>
      <c r="C161" s="129" t="s">
        <v>213</v>
      </c>
      <c r="D161" s="123">
        <v>70297.399999999994</v>
      </c>
      <c r="E161" s="51"/>
      <c r="F161" s="52"/>
    </row>
    <row r="162" spans="2:6" outlineLevel="1" x14ac:dyDescent="0.25">
      <c r="B162" s="121"/>
      <c r="C162" s="129" t="s">
        <v>214</v>
      </c>
      <c r="D162" s="123">
        <v>1</v>
      </c>
      <c r="E162" s="51"/>
      <c r="F162" s="52"/>
    </row>
    <row r="163" spans="2:6" outlineLevel="1" x14ac:dyDescent="0.25">
      <c r="B163" s="121"/>
      <c r="C163" s="129" t="s">
        <v>215</v>
      </c>
      <c r="D163" s="123">
        <v>68104.799999999988</v>
      </c>
      <c r="E163" s="51"/>
      <c r="F163" s="52"/>
    </row>
    <row r="164" spans="2:6" outlineLevel="1" x14ac:dyDescent="0.25">
      <c r="B164" s="121"/>
      <c r="C164" s="129" t="s">
        <v>216</v>
      </c>
      <c r="D164" s="123">
        <v>5093.72</v>
      </c>
      <c r="E164" s="51"/>
      <c r="F164" s="52"/>
    </row>
    <row r="165" spans="2:6" outlineLevel="1" x14ac:dyDescent="0.25">
      <c r="B165" s="121"/>
      <c r="C165" s="129" t="s">
        <v>217</v>
      </c>
      <c r="D165" s="123">
        <v>1</v>
      </c>
      <c r="E165" s="51"/>
      <c r="F165" s="52"/>
    </row>
    <row r="166" spans="2:6" ht="30" outlineLevel="1" x14ac:dyDescent="0.25">
      <c r="B166" s="121"/>
      <c r="C166" s="129" t="s">
        <v>218</v>
      </c>
      <c r="D166" s="123">
        <v>5881.3991808000001</v>
      </c>
      <c r="E166" s="51"/>
      <c r="F166" s="52"/>
    </row>
    <row r="167" spans="2:6" outlineLevel="1" x14ac:dyDescent="0.25">
      <c r="B167" s="121"/>
      <c r="C167" s="133" t="s">
        <v>219</v>
      </c>
      <c r="D167" s="123">
        <v>56322.903311999995</v>
      </c>
      <c r="E167" s="51"/>
      <c r="F167" s="52"/>
    </row>
    <row r="168" spans="2:6" ht="30" outlineLevel="1" x14ac:dyDescent="0.25">
      <c r="B168" s="121"/>
      <c r="C168" s="133" t="s">
        <v>220</v>
      </c>
      <c r="D168" s="123">
        <v>22858.625600000003</v>
      </c>
      <c r="E168" s="51"/>
      <c r="F168" s="52"/>
    </row>
    <row r="169" spans="2:6" outlineLevel="1" x14ac:dyDescent="0.25">
      <c r="B169" s="121"/>
      <c r="C169" s="129" t="s">
        <v>221</v>
      </c>
      <c r="D169" s="123">
        <v>1</v>
      </c>
      <c r="E169" s="51"/>
      <c r="F169" s="52"/>
    </row>
    <row r="170" spans="2:6" outlineLevel="1" x14ac:dyDescent="0.25">
      <c r="B170" s="121"/>
      <c r="C170" s="134" t="s">
        <v>222</v>
      </c>
      <c r="D170" s="123">
        <v>1248</v>
      </c>
      <c r="E170" s="51"/>
      <c r="F170" s="52"/>
    </row>
    <row r="171" spans="2:6" outlineLevel="1" x14ac:dyDescent="0.25">
      <c r="B171" s="121"/>
      <c r="C171" s="135" t="s">
        <v>223</v>
      </c>
      <c r="D171" s="123">
        <v>8616</v>
      </c>
      <c r="E171" s="51"/>
      <c r="F171" s="52"/>
    </row>
    <row r="172" spans="2:6" outlineLevel="1" x14ac:dyDescent="0.25">
      <c r="B172" s="124"/>
      <c r="C172" s="125" t="s">
        <v>224</v>
      </c>
      <c r="D172" s="126" t="s">
        <v>122</v>
      </c>
      <c r="E172" s="127"/>
      <c r="F172" s="128"/>
    </row>
    <row r="173" spans="2:6" outlineLevel="1" x14ac:dyDescent="0.25">
      <c r="B173" s="124"/>
      <c r="C173" s="130" t="s">
        <v>194</v>
      </c>
      <c r="D173" s="126" t="s">
        <v>122</v>
      </c>
      <c r="E173" s="127"/>
      <c r="F173" s="128"/>
    </row>
    <row r="174" spans="2:6" outlineLevel="1" x14ac:dyDescent="0.25">
      <c r="B174" s="121"/>
      <c r="C174" s="136" t="s">
        <v>225</v>
      </c>
      <c r="D174" s="123">
        <v>3718.8096</v>
      </c>
      <c r="E174" s="51"/>
      <c r="F174" s="52"/>
    </row>
    <row r="175" spans="2:6" outlineLevel="1" x14ac:dyDescent="0.25">
      <c r="B175" s="121"/>
      <c r="C175" s="136" t="s">
        <v>226</v>
      </c>
      <c r="D175" s="123">
        <v>45742.886400000003</v>
      </c>
      <c r="E175" s="51"/>
      <c r="F175" s="52"/>
    </row>
    <row r="176" spans="2:6" outlineLevel="1" x14ac:dyDescent="0.25">
      <c r="B176" s="121"/>
      <c r="C176" s="136" t="s">
        <v>227</v>
      </c>
      <c r="D176" s="123">
        <v>352.63680000000005</v>
      </c>
      <c r="E176" s="51"/>
      <c r="F176" s="52"/>
    </row>
    <row r="177" spans="2:6" outlineLevel="1" x14ac:dyDescent="0.25">
      <c r="B177" s="124"/>
      <c r="C177" s="130" t="s">
        <v>228</v>
      </c>
      <c r="D177" s="126" t="s">
        <v>122</v>
      </c>
      <c r="E177" s="127"/>
      <c r="F177" s="128"/>
    </row>
    <row r="178" spans="2:6" outlineLevel="1" x14ac:dyDescent="0.25">
      <c r="B178" s="121"/>
      <c r="C178" s="129" t="s">
        <v>229</v>
      </c>
      <c r="D178" s="123">
        <v>6566.4000000000005</v>
      </c>
      <c r="E178" s="51"/>
      <c r="F178" s="52"/>
    </row>
    <row r="179" spans="2:6" outlineLevel="1" x14ac:dyDescent="0.25">
      <c r="B179" s="121"/>
      <c r="C179" s="129" t="s">
        <v>230</v>
      </c>
      <c r="D179" s="123">
        <v>10209.6</v>
      </c>
      <c r="E179" s="51"/>
      <c r="F179" s="52"/>
    </row>
    <row r="180" spans="2:6" outlineLevel="1" x14ac:dyDescent="0.25">
      <c r="B180" s="124"/>
      <c r="C180" s="125" t="s">
        <v>231</v>
      </c>
      <c r="D180" s="126" t="s">
        <v>122</v>
      </c>
      <c r="E180" s="127"/>
      <c r="F180" s="128"/>
    </row>
    <row r="181" spans="2:6" outlineLevel="1" x14ac:dyDescent="0.25">
      <c r="B181" s="121"/>
      <c r="C181" s="137" t="s">
        <v>232</v>
      </c>
      <c r="D181" s="123">
        <v>7163.1360000000004</v>
      </c>
      <c r="E181" s="51"/>
      <c r="F181" s="52"/>
    </row>
    <row r="182" spans="2:6" outlineLevel="1" x14ac:dyDescent="0.25">
      <c r="B182" s="121"/>
      <c r="C182" s="137" t="s">
        <v>233</v>
      </c>
      <c r="D182" s="123">
        <v>2428.4160000000002</v>
      </c>
      <c r="E182" s="51"/>
      <c r="F182" s="52"/>
    </row>
    <row r="183" spans="2:6" outlineLevel="1" x14ac:dyDescent="0.25">
      <c r="B183" s="104" t="s">
        <v>234</v>
      </c>
      <c r="C183" s="117" t="s">
        <v>235</v>
      </c>
      <c r="D183" s="118">
        <f>SUM(D184:D217)</f>
        <v>735609.1753470744</v>
      </c>
      <c r="E183" s="119"/>
      <c r="F183" s="120"/>
    </row>
    <row r="184" spans="2:6" outlineLevel="1" x14ac:dyDescent="0.25">
      <c r="B184" s="124"/>
      <c r="C184" s="132" t="s">
        <v>236</v>
      </c>
      <c r="D184" s="126" t="s">
        <v>122</v>
      </c>
      <c r="E184" s="127"/>
      <c r="F184" s="128"/>
    </row>
    <row r="185" spans="2:6" outlineLevel="1" x14ac:dyDescent="0.25">
      <c r="B185" s="124"/>
      <c r="C185" s="130" t="s">
        <v>237</v>
      </c>
      <c r="D185" s="126" t="s">
        <v>122</v>
      </c>
      <c r="E185" s="127"/>
      <c r="F185" s="128"/>
    </row>
    <row r="186" spans="2:6" outlineLevel="1" x14ac:dyDescent="0.25">
      <c r="B186" s="121"/>
      <c r="C186" s="135" t="s">
        <v>238</v>
      </c>
      <c r="D186" s="123">
        <v>45823.92</v>
      </c>
      <c r="E186" s="51"/>
      <c r="F186" s="52"/>
    </row>
    <row r="187" spans="2:6" outlineLevel="1" x14ac:dyDescent="0.25">
      <c r="B187" s="124"/>
      <c r="C187" s="125" t="s">
        <v>239</v>
      </c>
      <c r="D187" s="126" t="s">
        <v>122</v>
      </c>
      <c r="E187" s="127"/>
      <c r="F187" s="128"/>
    </row>
    <row r="188" spans="2:6" outlineLevel="1" x14ac:dyDescent="0.25">
      <c r="B188" s="121"/>
      <c r="C188" s="129" t="s">
        <v>240</v>
      </c>
      <c r="D188" s="123">
        <v>12120.383999999998</v>
      </c>
      <c r="E188" s="51"/>
      <c r="F188" s="52"/>
    </row>
    <row r="189" spans="2:6" outlineLevel="1" x14ac:dyDescent="0.25">
      <c r="B189" s="121"/>
      <c r="C189" s="129" t="s">
        <v>241</v>
      </c>
      <c r="D189" s="123">
        <v>18480</v>
      </c>
      <c r="E189" s="51"/>
      <c r="F189" s="52"/>
    </row>
    <row r="190" spans="2:6" outlineLevel="1" x14ac:dyDescent="0.25">
      <c r="B190" s="121"/>
      <c r="C190" s="135" t="s">
        <v>242</v>
      </c>
      <c r="D190" s="123">
        <v>80900.34201600001</v>
      </c>
      <c r="E190" s="51"/>
      <c r="F190" s="52"/>
    </row>
    <row r="191" spans="2:6" outlineLevel="1" x14ac:dyDescent="0.25">
      <c r="B191" s="121"/>
      <c r="C191" s="135" t="s">
        <v>243</v>
      </c>
      <c r="D191" s="123">
        <v>80900.34201600001</v>
      </c>
      <c r="E191" s="51"/>
      <c r="F191" s="52"/>
    </row>
    <row r="192" spans="2:6" outlineLevel="1" x14ac:dyDescent="0.25">
      <c r="B192" s="121"/>
      <c r="C192" s="138" t="s">
        <v>244</v>
      </c>
      <c r="D192" s="123">
        <v>39854.495999999992</v>
      </c>
      <c r="E192" s="51"/>
      <c r="F192" s="52"/>
    </row>
    <row r="193" spans="2:6" outlineLevel="1" x14ac:dyDescent="0.25">
      <c r="B193" s="121"/>
      <c r="C193" s="138" t="s">
        <v>245</v>
      </c>
      <c r="D193" s="123">
        <v>19332.624</v>
      </c>
      <c r="E193" s="51"/>
      <c r="F193" s="52"/>
    </row>
    <row r="194" spans="2:6" outlineLevel="1" x14ac:dyDescent="0.25">
      <c r="B194" s="121"/>
      <c r="C194" s="138" t="s">
        <v>246</v>
      </c>
      <c r="D194" s="123">
        <v>5644.08</v>
      </c>
      <c r="E194" s="51"/>
      <c r="F194" s="52"/>
    </row>
    <row r="195" spans="2:6" outlineLevel="1" x14ac:dyDescent="0.25">
      <c r="B195" s="124"/>
      <c r="C195" s="125" t="s">
        <v>247</v>
      </c>
      <c r="D195" s="126" t="s">
        <v>122</v>
      </c>
      <c r="E195" s="127"/>
      <c r="F195" s="128"/>
    </row>
    <row r="196" spans="2:6" outlineLevel="1" x14ac:dyDescent="0.25">
      <c r="B196" s="121"/>
      <c r="C196" s="129" t="s">
        <v>248</v>
      </c>
      <c r="D196" s="123">
        <v>29138.395199999999</v>
      </c>
      <c r="E196" s="51"/>
      <c r="F196" s="52"/>
    </row>
    <row r="197" spans="2:6" outlineLevel="1" x14ac:dyDescent="0.25">
      <c r="B197" s="121"/>
      <c r="C197" s="129" t="s">
        <v>249</v>
      </c>
      <c r="D197" s="123">
        <v>10896</v>
      </c>
      <c r="E197" s="51"/>
      <c r="F197" s="52"/>
    </row>
    <row r="198" spans="2:6" outlineLevel="1" x14ac:dyDescent="0.25">
      <c r="B198" s="121"/>
      <c r="C198" s="129" t="s">
        <v>250</v>
      </c>
      <c r="D198" s="123">
        <v>11349.08</v>
      </c>
      <c r="E198" s="51"/>
      <c r="F198" s="52"/>
    </row>
    <row r="199" spans="2:6" outlineLevel="1" x14ac:dyDescent="0.25">
      <c r="B199" s="121"/>
      <c r="C199" s="138" t="s">
        <v>251</v>
      </c>
      <c r="D199" s="123">
        <v>1</v>
      </c>
      <c r="E199" s="51"/>
      <c r="F199" s="52"/>
    </row>
    <row r="200" spans="2:6" outlineLevel="1" x14ac:dyDescent="0.25">
      <c r="B200" s="124"/>
      <c r="C200" s="139" t="s">
        <v>252</v>
      </c>
      <c r="D200" s="126" t="s">
        <v>122</v>
      </c>
      <c r="E200" s="127"/>
      <c r="F200" s="128"/>
    </row>
    <row r="201" spans="2:6" outlineLevel="1" x14ac:dyDescent="0.25">
      <c r="B201" s="121"/>
      <c r="C201" s="129" t="s">
        <v>253</v>
      </c>
      <c r="D201" s="123">
        <v>2227.6799999999998</v>
      </c>
      <c r="E201" s="51"/>
      <c r="F201" s="52"/>
    </row>
    <row r="202" spans="2:6" outlineLevel="1" x14ac:dyDescent="0.25">
      <c r="B202" s="121"/>
      <c r="C202" s="129" t="s">
        <v>254</v>
      </c>
      <c r="D202" s="123">
        <v>611.52</v>
      </c>
      <c r="E202" s="51"/>
      <c r="F202" s="52"/>
    </row>
    <row r="203" spans="2:6" outlineLevel="1" x14ac:dyDescent="0.25">
      <c r="B203" s="121"/>
      <c r="C203" s="129" t="s">
        <v>255</v>
      </c>
      <c r="D203" s="123">
        <v>819.84</v>
      </c>
      <c r="E203" s="51"/>
      <c r="F203" s="52"/>
    </row>
    <row r="204" spans="2:6" outlineLevel="1" x14ac:dyDescent="0.25">
      <c r="B204" s="124"/>
      <c r="C204" s="125" t="s">
        <v>256</v>
      </c>
      <c r="D204" s="126" t="s">
        <v>122</v>
      </c>
      <c r="E204" s="127"/>
      <c r="F204" s="128"/>
    </row>
    <row r="205" spans="2:6" outlineLevel="1" x14ac:dyDescent="0.25">
      <c r="B205" s="121"/>
      <c r="C205" s="129" t="s">
        <v>257</v>
      </c>
      <c r="D205" s="123">
        <v>8455.68</v>
      </c>
      <c r="E205" s="51"/>
      <c r="F205" s="52"/>
    </row>
    <row r="206" spans="2:6" outlineLevel="1" x14ac:dyDescent="0.25">
      <c r="B206" s="121"/>
      <c r="C206" s="138" t="s">
        <v>258</v>
      </c>
      <c r="D206" s="123">
        <v>8072.4480000000003</v>
      </c>
      <c r="E206" s="51"/>
      <c r="F206" s="52"/>
    </row>
    <row r="207" spans="2:6" outlineLevel="1" x14ac:dyDescent="0.25">
      <c r="B207" s="121"/>
      <c r="C207" s="138" t="s">
        <v>259</v>
      </c>
      <c r="D207" s="123">
        <v>4776.192</v>
      </c>
      <c r="E207" s="51"/>
      <c r="F207" s="52"/>
    </row>
    <row r="208" spans="2:6" outlineLevel="1" x14ac:dyDescent="0.25">
      <c r="B208" s="124"/>
      <c r="C208" s="125" t="s">
        <v>260</v>
      </c>
      <c r="D208" s="126" t="s">
        <v>122</v>
      </c>
      <c r="E208" s="127"/>
      <c r="F208" s="128"/>
    </row>
    <row r="209" spans="2:6" outlineLevel="1" x14ac:dyDescent="0.25">
      <c r="B209" s="121"/>
      <c r="C209" s="137" t="s">
        <v>261</v>
      </c>
      <c r="D209" s="123">
        <v>12013.055999999999</v>
      </c>
      <c r="E209" s="51"/>
      <c r="F209" s="52"/>
    </row>
    <row r="210" spans="2:6" outlineLevel="1" x14ac:dyDescent="0.25">
      <c r="B210" s="121"/>
      <c r="C210" s="129" t="s">
        <v>262</v>
      </c>
      <c r="D210" s="123">
        <v>41586.835200000001</v>
      </c>
      <c r="E210" s="51"/>
      <c r="F210" s="52"/>
    </row>
    <row r="211" spans="2:6" outlineLevel="1" x14ac:dyDescent="0.25">
      <c r="B211" s="121"/>
      <c r="C211" s="129" t="s">
        <v>263</v>
      </c>
      <c r="D211" s="123">
        <v>16772.16</v>
      </c>
      <c r="E211" s="51"/>
      <c r="F211" s="52"/>
    </row>
    <row r="212" spans="2:6" outlineLevel="1" x14ac:dyDescent="0.25">
      <c r="B212" s="121"/>
      <c r="C212" s="129" t="s">
        <v>264</v>
      </c>
      <c r="D212" s="123">
        <v>1152</v>
      </c>
      <c r="E212" s="51"/>
      <c r="F212" s="52"/>
    </row>
    <row r="213" spans="2:6" outlineLevel="1" x14ac:dyDescent="0.25">
      <c r="B213" s="121"/>
      <c r="C213" s="129" t="s">
        <v>265</v>
      </c>
      <c r="D213" s="123">
        <v>3713.4719999999998</v>
      </c>
      <c r="E213" s="51"/>
      <c r="F213" s="52"/>
    </row>
    <row r="214" spans="2:6" outlineLevel="1" x14ac:dyDescent="0.25">
      <c r="B214" s="121"/>
      <c r="C214" s="129" t="s">
        <v>266</v>
      </c>
      <c r="D214" s="123">
        <v>23343.832006274512</v>
      </c>
      <c r="E214" s="51"/>
      <c r="F214" s="52"/>
    </row>
    <row r="215" spans="2:6" outlineLevel="1" x14ac:dyDescent="0.25">
      <c r="B215" s="121"/>
      <c r="C215" s="129" t="s">
        <v>267</v>
      </c>
      <c r="D215" s="123">
        <v>120208.83455999999</v>
      </c>
      <c r="E215" s="51"/>
      <c r="F215" s="52"/>
    </row>
    <row r="216" spans="2:6" outlineLevel="1" x14ac:dyDescent="0.25">
      <c r="B216" s="121"/>
      <c r="C216" s="129" t="s">
        <v>268</v>
      </c>
      <c r="D216" s="123">
        <v>133970.4823488</v>
      </c>
      <c r="E216" s="51"/>
      <c r="F216" s="52"/>
    </row>
    <row r="217" spans="2:6" outlineLevel="1" x14ac:dyDescent="0.25">
      <c r="B217" s="121"/>
      <c r="C217" s="129" t="s">
        <v>269</v>
      </c>
      <c r="D217" s="123">
        <v>3444.48</v>
      </c>
      <c r="E217" s="51"/>
      <c r="F217" s="52"/>
    </row>
    <row r="218" spans="2:6" outlineLevel="1" x14ac:dyDescent="0.25">
      <c r="B218" s="104" t="s">
        <v>270</v>
      </c>
      <c r="C218" s="117" t="s">
        <v>271</v>
      </c>
      <c r="D218" s="118">
        <f>SUM(D219:D275)</f>
        <v>1156914.4093509282</v>
      </c>
      <c r="E218" s="119"/>
      <c r="F218" s="120"/>
    </row>
    <row r="219" spans="2:6" outlineLevel="1" x14ac:dyDescent="0.25">
      <c r="B219" s="124"/>
      <c r="C219" s="125" t="s">
        <v>272</v>
      </c>
      <c r="D219" s="126" t="s">
        <v>122</v>
      </c>
      <c r="E219" s="127"/>
      <c r="F219" s="128"/>
    </row>
    <row r="220" spans="2:6" outlineLevel="1" x14ac:dyDescent="0.25">
      <c r="B220" s="124"/>
      <c r="C220" s="140" t="s">
        <v>273</v>
      </c>
      <c r="D220" s="126" t="s">
        <v>122</v>
      </c>
      <c r="E220" s="127"/>
      <c r="F220" s="128"/>
    </row>
    <row r="221" spans="2:6" outlineLevel="1" x14ac:dyDescent="0.25">
      <c r="B221" s="121"/>
      <c r="C221" s="135" t="s">
        <v>274</v>
      </c>
      <c r="D221" s="123">
        <v>127367.61600000001</v>
      </c>
      <c r="E221" s="51"/>
      <c r="F221" s="52"/>
    </row>
    <row r="222" spans="2:6" outlineLevel="1" x14ac:dyDescent="0.25">
      <c r="B222" s="121"/>
      <c r="C222" s="129" t="s">
        <v>275</v>
      </c>
      <c r="D222" s="123">
        <v>53489.279999999999</v>
      </c>
      <c r="E222" s="51"/>
      <c r="F222" s="52"/>
    </row>
    <row r="223" spans="2:6" outlineLevel="1" x14ac:dyDescent="0.25">
      <c r="B223" s="121"/>
      <c r="C223" s="129" t="s">
        <v>276</v>
      </c>
      <c r="D223" s="123">
        <v>0</v>
      </c>
      <c r="E223" s="51"/>
      <c r="F223" s="52"/>
    </row>
    <row r="224" spans="2:6" outlineLevel="1" x14ac:dyDescent="0.25">
      <c r="B224" s="121"/>
      <c r="C224" s="129" t="s">
        <v>277</v>
      </c>
      <c r="D224" s="123">
        <v>15381.6</v>
      </c>
      <c r="E224" s="51"/>
      <c r="F224" s="52"/>
    </row>
    <row r="225" spans="2:6" outlineLevel="1" x14ac:dyDescent="0.25">
      <c r="B225" s="121"/>
      <c r="C225" s="129" t="s">
        <v>278</v>
      </c>
      <c r="D225" s="123">
        <v>60803.205119999999</v>
      </c>
      <c r="E225" s="51"/>
      <c r="F225" s="52"/>
    </row>
    <row r="226" spans="2:6" outlineLevel="1" x14ac:dyDescent="0.25">
      <c r="B226" s="124"/>
      <c r="C226" s="130" t="s">
        <v>279</v>
      </c>
      <c r="D226" s="126" t="s">
        <v>122</v>
      </c>
      <c r="E226" s="127"/>
      <c r="F226" s="128"/>
    </row>
    <row r="227" spans="2:6" outlineLevel="1" x14ac:dyDescent="0.25">
      <c r="B227" s="121"/>
      <c r="C227" s="135" t="s">
        <v>280</v>
      </c>
      <c r="D227" s="123">
        <v>11515.928</v>
      </c>
      <c r="E227" s="51"/>
      <c r="F227" s="52"/>
    </row>
    <row r="228" spans="2:6" outlineLevel="1" x14ac:dyDescent="0.25">
      <c r="B228" s="121"/>
      <c r="C228" s="135" t="s">
        <v>281</v>
      </c>
      <c r="D228" s="123">
        <v>1</v>
      </c>
      <c r="E228" s="51"/>
      <c r="F228" s="52"/>
    </row>
    <row r="229" spans="2:6" outlineLevel="1" x14ac:dyDescent="0.25">
      <c r="B229" s="124"/>
      <c r="C229" s="140" t="s">
        <v>282</v>
      </c>
      <c r="D229" s="126" t="s">
        <v>122</v>
      </c>
      <c r="E229" s="127"/>
      <c r="F229" s="128"/>
    </row>
    <row r="230" spans="2:6" outlineLevel="1" x14ac:dyDescent="0.25">
      <c r="B230" s="121"/>
      <c r="C230" s="138" t="s">
        <v>283</v>
      </c>
      <c r="D230" s="123">
        <v>22411.199999999997</v>
      </c>
      <c r="E230" s="51"/>
      <c r="F230" s="52"/>
    </row>
    <row r="231" spans="2:6" outlineLevel="1" x14ac:dyDescent="0.25">
      <c r="B231" s="121"/>
      <c r="C231" s="138" t="s">
        <v>284</v>
      </c>
      <c r="D231" s="123">
        <v>74325.167999999976</v>
      </c>
      <c r="E231" s="51"/>
      <c r="F231" s="52"/>
    </row>
    <row r="232" spans="2:6" outlineLevel="1" x14ac:dyDescent="0.25">
      <c r="B232" s="121"/>
      <c r="C232" s="138" t="s">
        <v>285</v>
      </c>
      <c r="D232" s="123">
        <v>54145.879999999983</v>
      </c>
      <c r="E232" s="51"/>
      <c r="F232" s="52"/>
    </row>
    <row r="233" spans="2:6" outlineLevel="1" x14ac:dyDescent="0.25">
      <c r="B233" s="121"/>
      <c r="C233" s="138" t="s">
        <v>286</v>
      </c>
      <c r="D233" s="123">
        <v>1</v>
      </c>
      <c r="E233" s="51"/>
      <c r="F233" s="52"/>
    </row>
    <row r="234" spans="2:6" outlineLevel="1" x14ac:dyDescent="0.25">
      <c r="B234" s="121"/>
      <c r="C234" s="129" t="s">
        <v>287</v>
      </c>
      <c r="D234" s="123">
        <v>87415.185599999997</v>
      </c>
      <c r="E234" s="51"/>
      <c r="F234" s="52"/>
    </row>
    <row r="235" spans="2:6" outlineLevel="1" x14ac:dyDescent="0.25">
      <c r="B235" s="121"/>
      <c r="C235" s="129" t="s">
        <v>288</v>
      </c>
      <c r="D235" s="123">
        <v>960</v>
      </c>
      <c r="E235" s="51"/>
      <c r="F235" s="52"/>
    </row>
    <row r="236" spans="2:6" outlineLevel="1" x14ac:dyDescent="0.25">
      <c r="B236" s="124"/>
      <c r="C236" s="125" t="s">
        <v>289</v>
      </c>
      <c r="D236" s="126" t="s">
        <v>122</v>
      </c>
      <c r="E236" s="127"/>
      <c r="F236" s="128"/>
    </row>
    <row r="237" spans="2:6" outlineLevel="1" x14ac:dyDescent="0.25">
      <c r="B237" s="124"/>
      <c r="C237" s="130" t="s">
        <v>290</v>
      </c>
      <c r="D237" s="126" t="s">
        <v>122</v>
      </c>
      <c r="E237" s="127"/>
      <c r="F237" s="128"/>
    </row>
    <row r="238" spans="2:6" outlineLevel="1" x14ac:dyDescent="0.25">
      <c r="B238" s="121"/>
      <c r="C238" s="129" t="s">
        <v>291</v>
      </c>
      <c r="D238" s="123">
        <v>1005.8870400000087</v>
      </c>
      <c r="E238" s="51" t="s">
        <v>32</v>
      </c>
      <c r="F238" s="52"/>
    </row>
    <row r="239" spans="2:6" outlineLevel="1" x14ac:dyDescent="0.25">
      <c r="B239" s="121"/>
      <c r="C239" s="129" t="s">
        <v>292</v>
      </c>
      <c r="D239" s="123">
        <v>51658.358880000007</v>
      </c>
      <c r="E239" s="51" t="s">
        <v>32</v>
      </c>
      <c r="F239" s="52"/>
    </row>
    <row r="240" spans="2:6" outlineLevel="1" x14ac:dyDescent="0.25">
      <c r="B240" s="124"/>
      <c r="C240" s="130" t="s">
        <v>293</v>
      </c>
      <c r="D240" s="126" t="s">
        <v>122</v>
      </c>
      <c r="E240" s="127"/>
      <c r="F240" s="128"/>
    </row>
    <row r="241" spans="2:6" outlineLevel="1" x14ac:dyDescent="0.25">
      <c r="B241" s="121"/>
      <c r="C241" s="129" t="s">
        <v>294</v>
      </c>
      <c r="D241" s="123">
        <v>162595.63680000001</v>
      </c>
      <c r="E241" s="51"/>
      <c r="F241" s="52"/>
    </row>
    <row r="242" spans="2:6" outlineLevel="1" x14ac:dyDescent="0.25">
      <c r="B242" s="124"/>
      <c r="C242" s="130" t="s">
        <v>295</v>
      </c>
      <c r="D242" s="126" t="s">
        <v>122</v>
      </c>
      <c r="E242" s="127"/>
      <c r="F242" s="128"/>
    </row>
    <row r="243" spans="2:6" outlineLevel="1" x14ac:dyDescent="0.25">
      <c r="B243" s="121"/>
      <c r="C243" s="129" t="s">
        <v>296</v>
      </c>
      <c r="D243" s="123">
        <v>8072.4393600000003</v>
      </c>
      <c r="E243" s="51"/>
      <c r="F243" s="52"/>
    </row>
    <row r="244" spans="2:6" outlineLevel="1" x14ac:dyDescent="0.25">
      <c r="B244" s="124"/>
      <c r="C244" s="130" t="s">
        <v>297</v>
      </c>
      <c r="D244" s="126" t="s">
        <v>122</v>
      </c>
      <c r="E244" s="127"/>
      <c r="F244" s="128"/>
    </row>
    <row r="245" spans="2:6" outlineLevel="1" x14ac:dyDescent="0.25">
      <c r="B245" s="121"/>
      <c r="C245" s="129" t="s">
        <v>298</v>
      </c>
      <c r="D245" s="123">
        <v>2279.0476799999997</v>
      </c>
      <c r="E245" s="51"/>
      <c r="F245" s="52"/>
    </row>
    <row r="246" spans="2:6" outlineLevel="1" x14ac:dyDescent="0.25">
      <c r="B246" s="121"/>
      <c r="C246" s="129" t="s">
        <v>299</v>
      </c>
      <c r="D246" s="123">
        <v>13708.531199999998</v>
      </c>
      <c r="E246" s="51"/>
      <c r="F246" s="52"/>
    </row>
    <row r="247" spans="2:6" outlineLevel="1" x14ac:dyDescent="0.25">
      <c r="B247" s="124"/>
      <c r="C247" s="130" t="s">
        <v>213</v>
      </c>
      <c r="D247" s="126" t="s">
        <v>122</v>
      </c>
      <c r="E247" s="127"/>
      <c r="F247" s="128"/>
    </row>
    <row r="248" spans="2:6" outlineLevel="1" x14ac:dyDescent="0.25">
      <c r="B248" s="121"/>
      <c r="C248" s="129" t="s">
        <v>300</v>
      </c>
      <c r="D248" s="123">
        <v>1</v>
      </c>
      <c r="E248" s="51"/>
      <c r="F248" s="52"/>
    </row>
    <row r="249" spans="2:6" outlineLevel="1" x14ac:dyDescent="0.25">
      <c r="B249" s="121"/>
      <c r="C249" s="129" t="s">
        <v>301</v>
      </c>
      <c r="D249" s="123">
        <v>1350.8259840000001</v>
      </c>
      <c r="E249" s="51"/>
      <c r="F249" s="52"/>
    </row>
    <row r="250" spans="2:6" outlineLevel="1" x14ac:dyDescent="0.25">
      <c r="B250" s="121"/>
      <c r="C250" s="129" t="s">
        <v>302</v>
      </c>
      <c r="D250" s="123">
        <v>17069.901866666667</v>
      </c>
      <c r="E250" s="51"/>
      <c r="F250" s="52"/>
    </row>
    <row r="251" spans="2:6" outlineLevel="1" x14ac:dyDescent="0.25">
      <c r="B251" s="124"/>
      <c r="C251" s="125" t="s">
        <v>303</v>
      </c>
      <c r="D251" s="126" t="s">
        <v>122</v>
      </c>
      <c r="E251" s="127"/>
      <c r="F251" s="128"/>
    </row>
    <row r="252" spans="2:6" outlineLevel="1" x14ac:dyDescent="0.25">
      <c r="B252" s="121"/>
      <c r="C252" s="129" t="s">
        <v>304</v>
      </c>
      <c r="D252" s="123">
        <v>20489.356799999998</v>
      </c>
      <c r="E252" s="51"/>
      <c r="F252" s="52"/>
    </row>
    <row r="253" spans="2:6" outlineLevel="1" x14ac:dyDescent="0.25">
      <c r="B253" s="121"/>
      <c r="C253" s="129" t="s">
        <v>305</v>
      </c>
      <c r="D253" s="123">
        <v>35326.224000000002</v>
      </c>
      <c r="E253" s="51"/>
      <c r="F253" s="52"/>
    </row>
    <row r="254" spans="2:6" outlineLevel="1" x14ac:dyDescent="0.25">
      <c r="B254" s="121"/>
      <c r="C254" s="129" t="s">
        <v>306</v>
      </c>
      <c r="D254" s="123">
        <v>84403.411199999988</v>
      </c>
      <c r="E254" s="51"/>
      <c r="F254" s="52"/>
    </row>
    <row r="255" spans="2:6" outlineLevel="1" x14ac:dyDescent="0.25">
      <c r="B255" s="121"/>
      <c r="C255" s="129" t="s">
        <v>307</v>
      </c>
      <c r="D255" s="123">
        <v>28562.687999999995</v>
      </c>
      <c r="E255" s="51"/>
      <c r="F255" s="52"/>
    </row>
    <row r="256" spans="2:6" outlineLevel="1" x14ac:dyDescent="0.25">
      <c r="B256" s="121"/>
      <c r="C256" s="138" t="s">
        <v>308</v>
      </c>
      <c r="D256" s="123">
        <v>645.11999999999989</v>
      </c>
      <c r="E256" s="51"/>
      <c r="F256" s="52"/>
    </row>
    <row r="257" spans="2:6" outlineLevel="1" x14ac:dyDescent="0.25">
      <c r="B257" s="121"/>
      <c r="C257" s="129" t="s">
        <v>309</v>
      </c>
      <c r="D257" s="123">
        <v>5799.3072000000002</v>
      </c>
      <c r="E257" s="51"/>
      <c r="F257" s="52"/>
    </row>
    <row r="258" spans="2:6" outlineLevel="1" x14ac:dyDescent="0.25">
      <c r="B258" s="121"/>
      <c r="C258" s="129" t="s">
        <v>310</v>
      </c>
      <c r="D258" s="123">
        <v>9523.1999999999989</v>
      </c>
      <c r="E258" s="51"/>
      <c r="F258" s="52"/>
    </row>
    <row r="259" spans="2:6" outlineLevel="1" x14ac:dyDescent="0.25">
      <c r="B259" s="124"/>
      <c r="C259" s="125" t="s">
        <v>311</v>
      </c>
      <c r="D259" s="126" t="s">
        <v>122</v>
      </c>
      <c r="E259" s="127"/>
      <c r="F259" s="128"/>
    </row>
    <row r="260" spans="2:6" outlineLevel="1" x14ac:dyDescent="0.25">
      <c r="B260" s="121"/>
      <c r="C260" s="129" t="s">
        <v>312</v>
      </c>
      <c r="D260" s="123">
        <v>2315.52</v>
      </c>
      <c r="E260" s="51"/>
      <c r="F260" s="52"/>
    </row>
    <row r="261" spans="2:6" outlineLevel="1" x14ac:dyDescent="0.25">
      <c r="B261" s="121"/>
      <c r="C261" s="129" t="s">
        <v>313</v>
      </c>
      <c r="D261" s="123">
        <v>598.17599999999993</v>
      </c>
      <c r="E261" s="51"/>
      <c r="F261" s="52"/>
    </row>
    <row r="262" spans="2:6" outlineLevel="1" x14ac:dyDescent="0.25">
      <c r="B262" s="121"/>
      <c r="C262" s="129" t="s">
        <v>314</v>
      </c>
      <c r="D262" s="123">
        <v>100347.00984</v>
      </c>
      <c r="E262" s="51"/>
      <c r="F262" s="52"/>
    </row>
    <row r="263" spans="2:6" outlineLevel="1" x14ac:dyDescent="0.25">
      <c r="B263" s="121"/>
      <c r="C263" s="129" t="s">
        <v>315</v>
      </c>
      <c r="D263" s="123">
        <v>18073.42985</v>
      </c>
      <c r="E263" s="51"/>
      <c r="F263" s="52"/>
    </row>
    <row r="264" spans="2:6" outlineLevel="1" x14ac:dyDescent="0.25">
      <c r="B264" s="121"/>
      <c r="C264" s="129" t="s">
        <v>316</v>
      </c>
      <c r="D264" s="123">
        <v>18168.08596</v>
      </c>
      <c r="E264" s="51"/>
      <c r="F264" s="52"/>
    </row>
    <row r="265" spans="2:6" outlineLevel="1" x14ac:dyDescent="0.25">
      <c r="B265" s="124"/>
      <c r="C265" s="139" t="s">
        <v>213</v>
      </c>
      <c r="D265" s="126" t="s">
        <v>122</v>
      </c>
      <c r="E265" s="127"/>
      <c r="F265" s="128"/>
    </row>
    <row r="266" spans="2:6" outlineLevel="1" x14ac:dyDescent="0.25">
      <c r="B266" s="121"/>
      <c r="C266" s="129" t="s">
        <v>317</v>
      </c>
      <c r="D266" s="123">
        <v>898.56</v>
      </c>
      <c r="E266" s="51"/>
      <c r="F266" s="52"/>
    </row>
    <row r="267" spans="2:6" outlineLevel="1" x14ac:dyDescent="0.25">
      <c r="B267" s="121"/>
      <c r="C267" s="129" t="s">
        <v>318</v>
      </c>
      <c r="D267" s="123">
        <v>1687.8319999999999</v>
      </c>
      <c r="E267" s="51"/>
      <c r="F267" s="52"/>
    </row>
    <row r="268" spans="2:6" outlineLevel="1" x14ac:dyDescent="0.25">
      <c r="B268" s="121"/>
      <c r="C268" s="129" t="s">
        <v>302</v>
      </c>
      <c r="D268" s="123">
        <v>1</v>
      </c>
      <c r="E268" s="51"/>
      <c r="F268" s="52"/>
    </row>
    <row r="269" spans="2:6" outlineLevel="1" x14ac:dyDescent="0.25">
      <c r="B269" s="124"/>
      <c r="C269" s="139" t="s">
        <v>319</v>
      </c>
      <c r="D269" s="126" t="s">
        <v>122</v>
      </c>
      <c r="E269" s="127"/>
      <c r="F269" s="128"/>
    </row>
    <row r="270" spans="2:6" outlineLevel="1" x14ac:dyDescent="0.25">
      <c r="B270" s="121"/>
      <c r="C270" s="129" t="s">
        <v>320</v>
      </c>
      <c r="D270" s="123">
        <v>38991.792474000002</v>
      </c>
      <c r="E270" s="51" t="s">
        <v>32</v>
      </c>
      <c r="F270" s="52"/>
    </row>
    <row r="271" spans="2:6" outlineLevel="1" x14ac:dyDescent="0.25">
      <c r="B271" s="121"/>
      <c r="C271" s="129" t="s">
        <v>321</v>
      </c>
      <c r="D271" s="123">
        <v>23988.004496261681</v>
      </c>
      <c r="E271" s="51" t="s">
        <v>32</v>
      </c>
      <c r="F271" s="52"/>
    </row>
    <row r="272" spans="2:6" outlineLevel="1" x14ac:dyDescent="0.25">
      <c r="B272" s="121"/>
      <c r="C272" s="129" t="s">
        <v>322</v>
      </c>
      <c r="D272" s="123">
        <v>1</v>
      </c>
      <c r="E272" s="51" t="s">
        <v>32</v>
      </c>
      <c r="F272" s="52"/>
    </row>
    <row r="273" spans="2:6" outlineLevel="1" x14ac:dyDescent="0.25">
      <c r="B273" s="124"/>
      <c r="C273" s="141" t="s">
        <v>323</v>
      </c>
      <c r="D273" s="126" t="s">
        <v>122</v>
      </c>
      <c r="E273" s="127"/>
      <c r="F273" s="128"/>
    </row>
    <row r="274" spans="2:6" outlineLevel="1" x14ac:dyDescent="0.25">
      <c r="B274" s="121"/>
      <c r="C274" s="136" t="s">
        <v>324</v>
      </c>
      <c r="D274" s="123">
        <v>1</v>
      </c>
      <c r="E274" s="51" t="s">
        <v>32</v>
      </c>
      <c r="F274" s="52"/>
    </row>
    <row r="275" spans="2:6" outlineLevel="1" x14ac:dyDescent="0.25">
      <c r="B275" s="121"/>
      <c r="C275" s="136" t="s">
        <v>325</v>
      </c>
      <c r="D275" s="123">
        <v>1535</v>
      </c>
      <c r="E275" s="51" t="s">
        <v>32</v>
      </c>
      <c r="F275" s="52"/>
    </row>
    <row r="276" spans="2:6" outlineLevel="1" x14ac:dyDescent="0.25">
      <c r="B276" s="104" t="s">
        <v>326</v>
      </c>
      <c r="C276" s="117" t="s">
        <v>327</v>
      </c>
      <c r="D276" s="118">
        <f>SUM(D277:D283)</f>
        <v>78087.638399999996</v>
      </c>
      <c r="E276" s="119"/>
      <c r="F276" s="120"/>
    </row>
    <row r="277" spans="2:6" outlineLevel="1" x14ac:dyDescent="0.25">
      <c r="B277" s="124"/>
      <c r="C277" s="125" t="s">
        <v>328</v>
      </c>
      <c r="D277" s="126" t="s">
        <v>122</v>
      </c>
      <c r="E277" s="127"/>
      <c r="F277" s="128"/>
    </row>
    <row r="278" spans="2:6" outlineLevel="1" x14ac:dyDescent="0.25">
      <c r="B278" s="121"/>
      <c r="C278" s="129" t="s">
        <v>329</v>
      </c>
      <c r="D278" s="123">
        <v>12440.544</v>
      </c>
      <c r="E278" s="51"/>
      <c r="F278" s="52"/>
    </row>
    <row r="279" spans="2:6" outlineLevel="1" x14ac:dyDescent="0.25">
      <c r="B279" s="121"/>
      <c r="C279" s="129" t="s">
        <v>245</v>
      </c>
      <c r="D279" s="123">
        <v>11894.4</v>
      </c>
      <c r="E279" s="51"/>
      <c r="F279" s="52"/>
    </row>
    <row r="280" spans="2:6" outlineLevel="1" x14ac:dyDescent="0.25">
      <c r="B280" s="121"/>
      <c r="C280" s="129" t="s">
        <v>330</v>
      </c>
      <c r="D280" s="123">
        <v>4043.8944000000001</v>
      </c>
      <c r="E280" s="51"/>
      <c r="F280" s="52"/>
    </row>
    <row r="281" spans="2:6" outlineLevel="1" x14ac:dyDescent="0.25">
      <c r="B281" s="124"/>
      <c r="C281" s="139" t="s">
        <v>331</v>
      </c>
      <c r="D281" s="126" t="s">
        <v>122</v>
      </c>
      <c r="E281" s="127"/>
      <c r="F281" s="128"/>
    </row>
    <row r="282" spans="2:6" outlineLevel="1" x14ac:dyDescent="0.25">
      <c r="B282" s="121"/>
      <c r="C282" s="129" t="s">
        <v>332</v>
      </c>
      <c r="D282" s="123">
        <v>21312</v>
      </c>
      <c r="E282" s="51"/>
      <c r="F282" s="52"/>
    </row>
    <row r="283" spans="2:6" outlineLevel="1" x14ac:dyDescent="0.25">
      <c r="B283" s="121"/>
      <c r="C283" s="129" t="s">
        <v>333</v>
      </c>
      <c r="D283" s="123">
        <v>28396.799999999999</v>
      </c>
      <c r="E283" s="51"/>
      <c r="F283" s="52"/>
    </row>
    <row r="284" spans="2:6" outlineLevel="1" x14ac:dyDescent="0.25">
      <c r="B284" s="104" t="s">
        <v>334</v>
      </c>
      <c r="C284" s="117" t="s">
        <v>335</v>
      </c>
      <c r="D284" s="118">
        <f>SUM(D285:D324)</f>
        <v>1975904.3990613171</v>
      </c>
      <c r="E284" s="119"/>
      <c r="F284" s="120"/>
    </row>
    <row r="285" spans="2:6" outlineLevel="1" x14ac:dyDescent="0.25">
      <c r="B285" s="124"/>
      <c r="C285" s="125" t="s">
        <v>336</v>
      </c>
      <c r="D285" s="126" t="s">
        <v>122</v>
      </c>
      <c r="E285" s="127"/>
      <c r="F285" s="128"/>
    </row>
    <row r="286" spans="2:6" outlineLevel="1" x14ac:dyDescent="0.25">
      <c r="B286" s="121"/>
      <c r="C286" s="129" t="s">
        <v>337</v>
      </c>
      <c r="D286" s="123">
        <v>31190.399999999998</v>
      </c>
      <c r="E286" s="51"/>
      <c r="F286" s="52"/>
    </row>
    <row r="287" spans="2:6" outlineLevel="1" x14ac:dyDescent="0.25">
      <c r="B287" s="121"/>
      <c r="C287" s="129" t="s">
        <v>137</v>
      </c>
      <c r="D287" s="123">
        <v>60604.800000000003</v>
      </c>
      <c r="E287" s="51"/>
      <c r="F287" s="52"/>
    </row>
    <row r="288" spans="2:6" outlineLevel="1" x14ac:dyDescent="0.25">
      <c r="B288" s="121"/>
      <c r="C288" s="129" t="s">
        <v>338</v>
      </c>
      <c r="D288" s="123">
        <v>28800</v>
      </c>
      <c r="E288" s="51"/>
      <c r="F288" s="52"/>
    </row>
    <row r="289" spans="2:14" outlineLevel="1" x14ac:dyDescent="0.25">
      <c r="B289" s="142"/>
      <c r="C289" s="125" t="s">
        <v>339</v>
      </c>
      <c r="D289" s="126" t="s">
        <v>122</v>
      </c>
      <c r="E289" s="127"/>
      <c r="F289" s="128"/>
      <c r="G289" s="406"/>
    </row>
    <row r="290" spans="2:14" outlineLevel="1" x14ac:dyDescent="0.25">
      <c r="B290" s="143"/>
      <c r="C290" s="129" t="s">
        <v>340</v>
      </c>
      <c r="D290" s="123">
        <v>151919</v>
      </c>
      <c r="E290" s="51"/>
      <c r="F290" s="52"/>
    </row>
    <row r="291" spans="2:14" outlineLevel="1" x14ac:dyDescent="0.25">
      <c r="B291" s="143"/>
      <c r="C291" s="129" t="s">
        <v>341</v>
      </c>
      <c r="D291" s="123">
        <v>1</v>
      </c>
      <c r="E291" s="51"/>
      <c r="F291" s="52"/>
    </row>
    <row r="292" spans="2:14" ht="14.25" customHeight="1" outlineLevel="1" x14ac:dyDescent="0.25">
      <c r="B292" s="143"/>
      <c r="C292" s="129" t="s">
        <v>342</v>
      </c>
      <c r="D292" s="123">
        <v>20947.2</v>
      </c>
      <c r="E292" s="51"/>
      <c r="F292" s="52"/>
    </row>
    <row r="293" spans="2:14" outlineLevel="1" x14ac:dyDescent="0.25">
      <c r="B293" s="143"/>
      <c r="C293" s="129" t="s">
        <v>343</v>
      </c>
      <c r="D293" s="123">
        <v>100382.39999999999</v>
      </c>
      <c r="E293" s="51"/>
      <c r="F293" s="52"/>
    </row>
    <row r="294" spans="2:14" outlineLevel="1" x14ac:dyDescent="0.25">
      <c r="B294" s="143"/>
      <c r="C294" s="129" t="s">
        <v>344</v>
      </c>
      <c r="D294" s="123">
        <v>262129.88</v>
      </c>
      <c r="E294" s="51"/>
      <c r="F294" s="52"/>
    </row>
    <row r="295" spans="2:14" outlineLevel="1" x14ac:dyDescent="0.25">
      <c r="B295" s="143"/>
      <c r="C295" s="129" t="s">
        <v>345</v>
      </c>
      <c r="D295" s="123">
        <v>1</v>
      </c>
      <c r="E295" s="51"/>
      <c r="F295" s="52"/>
    </row>
    <row r="296" spans="2:14" outlineLevel="1" x14ac:dyDescent="0.25">
      <c r="B296" s="143"/>
      <c r="C296" s="129" t="s">
        <v>346</v>
      </c>
      <c r="D296" s="123">
        <v>134251.19999999998</v>
      </c>
      <c r="E296" s="51"/>
      <c r="F296" s="52"/>
      <c r="K296" s="406"/>
      <c r="M296" s="114"/>
      <c r="N296" s="406"/>
    </row>
    <row r="297" spans="2:14" outlineLevel="1" x14ac:dyDescent="0.25">
      <c r="B297" s="143"/>
      <c r="C297" s="129" t="s">
        <v>347</v>
      </c>
      <c r="D297" s="123">
        <v>134250.19999999998</v>
      </c>
      <c r="E297" s="51"/>
      <c r="F297" s="52"/>
      <c r="J297" s="114"/>
      <c r="K297" s="406"/>
      <c r="M297" s="114"/>
      <c r="N297" s="406"/>
    </row>
    <row r="298" spans="2:14" outlineLevel="1" x14ac:dyDescent="0.25">
      <c r="B298" s="143"/>
      <c r="C298" s="129" t="s">
        <v>348</v>
      </c>
      <c r="D298" s="123">
        <v>1</v>
      </c>
      <c r="E298" s="51"/>
      <c r="F298" s="52"/>
      <c r="K298" s="114"/>
      <c r="L298" s="406"/>
      <c r="M298" s="114"/>
      <c r="N298" s="406"/>
    </row>
    <row r="299" spans="2:14" outlineLevel="1" x14ac:dyDescent="0.25">
      <c r="B299" s="142"/>
      <c r="C299" s="139" t="s">
        <v>349</v>
      </c>
      <c r="D299" s="126" t="s">
        <v>122</v>
      </c>
      <c r="E299" s="127"/>
      <c r="F299" s="128"/>
      <c r="K299" s="114"/>
      <c r="L299" s="406"/>
      <c r="M299" s="114"/>
      <c r="N299" s="3"/>
    </row>
    <row r="300" spans="2:14" outlineLevel="1" x14ac:dyDescent="0.25">
      <c r="B300" s="143"/>
      <c r="C300" s="129" t="s">
        <v>349</v>
      </c>
      <c r="D300" s="123">
        <v>1583</v>
      </c>
      <c r="E300" s="51"/>
      <c r="F300" s="52"/>
      <c r="K300" s="114"/>
      <c r="L300" s="406"/>
      <c r="N300" s="406"/>
    </row>
    <row r="301" spans="2:14" outlineLevel="1" x14ac:dyDescent="0.25">
      <c r="B301" s="143"/>
      <c r="C301" s="129" t="s">
        <v>350</v>
      </c>
      <c r="D301" s="123">
        <v>1</v>
      </c>
      <c r="E301" s="51"/>
      <c r="F301" s="52"/>
      <c r="L301" s="406"/>
    </row>
    <row r="302" spans="2:14" outlineLevel="1" x14ac:dyDescent="0.25">
      <c r="B302" s="142"/>
      <c r="C302" s="125" t="s">
        <v>351</v>
      </c>
      <c r="D302" s="126" t="s">
        <v>122</v>
      </c>
      <c r="E302" s="127"/>
      <c r="F302" s="128"/>
    </row>
    <row r="303" spans="2:14" outlineLevel="1" x14ac:dyDescent="0.25">
      <c r="B303" s="143"/>
      <c r="C303" s="129" t="s">
        <v>352</v>
      </c>
      <c r="D303" s="123">
        <v>34933.353762301289</v>
      </c>
      <c r="E303" s="51"/>
      <c r="F303" s="52"/>
      <c r="M303" s="114"/>
      <c r="N303" s="406"/>
    </row>
    <row r="304" spans="2:14" outlineLevel="1" x14ac:dyDescent="0.25">
      <c r="B304" s="143"/>
      <c r="C304" s="129" t="s">
        <v>353</v>
      </c>
      <c r="D304" s="123">
        <v>1</v>
      </c>
      <c r="E304" s="51"/>
      <c r="F304" s="52"/>
      <c r="L304" s="114"/>
      <c r="M304" s="114"/>
      <c r="N304" s="406"/>
    </row>
    <row r="305" spans="2:14" outlineLevel="1" x14ac:dyDescent="0.25">
      <c r="B305" s="143"/>
      <c r="C305" s="129" t="s">
        <v>354</v>
      </c>
      <c r="D305" s="123">
        <v>14120.571688115066</v>
      </c>
      <c r="E305" s="51"/>
      <c r="F305" s="52"/>
      <c r="L305" s="114"/>
      <c r="M305" s="114"/>
      <c r="N305" s="406"/>
    </row>
    <row r="306" spans="2:14" outlineLevel="1" x14ac:dyDescent="0.25">
      <c r="B306" s="143"/>
      <c r="C306" s="129" t="s">
        <v>355</v>
      </c>
      <c r="D306" s="123">
        <v>22374.97798637396</v>
      </c>
      <c r="E306" s="51"/>
      <c r="F306" s="52"/>
      <c r="L306" s="114"/>
      <c r="N306" s="406"/>
    </row>
    <row r="307" spans="2:14" outlineLevel="1" x14ac:dyDescent="0.25">
      <c r="B307" s="143"/>
      <c r="C307" s="129" t="s">
        <v>356</v>
      </c>
      <c r="D307" s="123">
        <v>37136.365056775168</v>
      </c>
      <c r="E307" s="51"/>
      <c r="F307" s="52"/>
      <c r="L307" s="114"/>
      <c r="M307" s="3"/>
      <c r="N307" s="433"/>
    </row>
    <row r="308" spans="2:14" outlineLevel="1" x14ac:dyDescent="0.25">
      <c r="B308" s="143"/>
      <c r="C308" s="129" t="s">
        <v>357</v>
      </c>
      <c r="D308" s="123">
        <v>114995.01299015895</v>
      </c>
      <c r="E308" s="51"/>
      <c r="F308" s="52"/>
      <c r="M308" s="406"/>
      <c r="N308" s="433"/>
    </row>
    <row r="309" spans="2:14" outlineLevel="1" x14ac:dyDescent="0.25">
      <c r="B309" s="143"/>
      <c r="C309" s="129" t="s">
        <v>358</v>
      </c>
      <c r="D309" s="123">
        <v>312264.02470855409</v>
      </c>
      <c r="E309" s="51"/>
      <c r="F309" s="52"/>
      <c r="N309" s="433"/>
    </row>
    <row r="310" spans="2:14" outlineLevel="1" x14ac:dyDescent="0.25">
      <c r="B310" s="143"/>
      <c r="C310" s="129" t="s">
        <v>359</v>
      </c>
      <c r="D310" s="123">
        <v>55006.652869038611</v>
      </c>
      <c r="E310" s="51"/>
      <c r="F310" s="52"/>
      <c r="N310" s="433"/>
    </row>
    <row r="311" spans="2:14" outlineLevel="1" x14ac:dyDescent="0.25">
      <c r="B311" s="48"/>
      <c r="C311" s="129" t="s">
        <v>360</v>
      </c>
      <c r="D311" s="123">
        <v>1</v>
      </c>
      <c r="E311" s="51"/>
      <c r="F311" s="52"/>
      <c r="L311" s="114"/>
      <c r="M311" s="406"/>
      <c r="N311" s="433"/>
    </row>
    <row r="312" spans="2:14" outlineLevel="1" x14ac:dyDescent="0.25">
      <c r="B312" s="144"/>
      <c r="C312" s="125" t="s">
        <v>361</v>
      </c>
      <c r="D312" s="126" t="s">
        <v>122</v>
      </c>
      <c r="E312" s="127"/>
      <c r="F312" s="128"/>
      <c r="L312" s="114"/>
      <c r="M312" s="406"/>
      <c r="N312" s="433"/>
    </row>
    <row r="313" spans="2:14" outlineLevel="1" x14ac:dyDescent="0.25">
      <c r="B313" s="48"/>
      <c r="C313" s="129" t="s">
        <v>362</v>
      </c>
      <c r="D313" s="123">
        <v>131590.79999999999</v>
      </c>
      <c r="E313" s="51"/>
      <c r="F313" s="52"/>
      <c r="L313" s="114"/>
      <c r="M313" s="406"/>
      <c r="N313" s="433"/>
    </row>
    <row r="314" spans="2:14" outlineLevel="1" x14ac:dyDescent="0.25">
      <c r="B314" s="143"/>
      <c r="C314" s="129" t="s">
        <v>363</v>
      </c>
      <c r="D314" s="123">
        <v>82437.119999999995</v>
      </c>
      <c r="E314" s="51"/>
      <c r="F314" s="52"/>
      <c r="M314" s="406"/>
      <c r="N314" s="433"/>
    </row>
    <row r="315" spans="2:14" outlineLevel="1" x14ac:dyDescent="0.25">
      <c r="B315" s="48"/>
      <c r="C315" s="129" t="s">
        <v>364</v>
      </c>
      <c r="D315" s="123">
        <v>37067.519999999997</v>
      </c>
      <c r="E315" s="51"/>
      <c r="F315" s="52"/>
    </row>
    <row r="316" spans="2:14" outlineLevel="1" x14ac:dyDescent="0.25">
      <c r="B316" s="48"/>
      <c r="C316" s="129" t="s">
        <v>365</v>
      </c>
      <c r="D316" s="123">
        <v>73791.360000000001</v>
      </c>
      <c r="E316" s="51"/>
      <c r="F316" s="52"/>
    </row>
    <row r="317" spans="2:14" outlineLevel="1" x14ac:dyDescent="0.25">
      <c r="B317" s="48"/>
      <c r="C317" s="129" t="s">
        <v>366</v>
      </c>
      <c r="D317" s="123">
        <v>54475.199999999997</v>
      </c>
      <c r="E317" s="51"/>
      <c r="F317" s="52"/>
    </row>
    <row r="318" spans="2:14" outlineLevel="1" x14ac:dyDescent="0.25">
      <c r="B318" s="48"/>
      <c r="C318" s="129" t="s">
        <v>367</v>
      </c>
      <c r="D318" s="123">
        <v>2750.4</v>
      </c>
      <c r="E318" s="51"/>
      <c r="F318" s="52"/>
    </row>
    <row r="319" spans="2:14" outlineLevel="1" x14ac:dyDescent="0.25">
      <c r="B319" s="48"/>
      <c r="C319" s="129" t="s">
        <v>368</v>
      </c>
      <c r="D319" s="123">
        <v>13104.96</v>
      </c>
      <c r="E319" s="51"/>
      <c r="F319" s="52"/>
    </row>
    <row r="320" spans="2:14" outlineLevel="1" x14ac:dyDescent="0.25">
      <c r="B320" s="48"/>
      <c r="C320" s="129" t="s">
        <v>369</v>
      </c>
      <c r="D320" s="123">
        <v>9000</v>
      </c>
      <c r="E320" s="51"/>
      <c r="F320" s="52"/>
    </row>
    <row r="321" spans="2:7" outlineLevel="1" x14ac:dyDescent="0.25">
      <c r="B321" s="48"/>
      <c r="C321" s="129" t="s">
        <v>370</v>
      </c>
      <c r="D321" s="123">
        <v>947.52</v>
      </c>
      <c r="E321" s="51"/>
      <c r="F321" s="52"/>
    </row>
    <row r="322" spans="2:7" outlineLevel="1" x14ac:dyDescent="0.25">
      <c r="B322" s="143"/>
      <c r="C322" s="129" t="s">
        <v>371</v>
      </c>
      <c r="D322" s="123">
        <v>2175.36</v>
      </c>
      <c r="E322" s="51"/>
      <c r="F322" s="52"/>
    </row>
    <row r="323" spans="2:7" outlineLevel="1" x14ac:dyDescent="0.25">
      <c r="B323" s="48"/>
      <c r="C323" s="145" t="s">
        <v>372</v>
      </c>
      <c r="D323" s="123">
        <v>47397.119999999995</v>
      </c>
      <c r="E323" s="51"/>
      <c r="F323" s="52"/>
    </row>
    <row r="324" spans="2:7" outlineLevel="1" x14ac:dyDescent="0.25">
      <c r="B324" s="48"/>
      <c r="C324" s="129" t="s">
        <v>373</v>
      </c>
      <c r="D324" s="123">
        <v>4272</v>
      </c>
      <c r="E324" s="51"/>
      <c r="F324" s="52"/>
    </row>
    <row r="325" spans="2:7" ht="14.25" customHeight="1" outlineLevel="1" x14ac:dyDescent="0.25">
      <c r="B325" s="104" t="s">
        <v>374</v>
      </c>
      <c r="C325" s="117" t="s">
        <v>375</v>
      </c>
      <c r="D325" s="118">
        <f>SUM(D326:D330)</f>
        <v>445779.21600000001</v>
      </c>
      <c r="E325" s="119"/>
      <c r="F325" s="120"/>
    </row>
    <row r="326" spans="2:7" ht="14.25" customHeight="1" outlineLevel="1" x14ac:dyDescent="0.25">
      <c r="B326" s="144"/>
      <c r="C326" s="139" t="s">
        <v>376</v>
      </c>
      <c r="D326" s="126" t="s">
        <v>122</v>
      </c>
      <c r="E326" s="127"/>
      <c r="F326" s="128"/>
    </row>
    <row r="327" spans="2:7" ht="14.25" customHeight="1" outlineLevel="1" x14ac:dyDescent="0.25">
      <c r="B327" s="143"/>
      <c r="C327" s="129" t="s">
        <v>377</v>
      </c>
      <c r="D327" s="123">
        <v>2112</v>
      </c>
      <c r="E327" s="51"/>
      <c r="F327" s="52"/>
    </row>
    <row r="328" spans="2:7" ht="14.25" customHeight="1" outlineLevel="1" x14ac:dyDescent="0.25">
      <c r="B328" s="48"/>
      <c r="C328" s="129" t="s">
        <v>378</v>
      </c>
      <c r="D328" s="123">
        <v>197842.128</v>
      </c>
      <c r="E328" s="51"/>
      <c r="F328" s="52"/>
    </row>
    <row r="329" spans="2:7" outlineLevel="1" x14ac:dyDescent="0.25">
      <c r="B329" s="48"/>
      <c r="C329" s="129" t="s">
        <v>379</v>
      </c>
      <c r="D329" s="123">
        <v>25754.687999999998</v>
      </c>
      <c r="E329" s="51"/>
      <c r="F329" s="52"/>
    </row>
    <row r="330" spans="2:7" outlineLevel="1" x14ac:dyDescent="0.25">
      <c r="B330" s="48"/>
      <c r="C330" s="146" t="s">
        <v>380</v>
      </c>
      <c r="D330" s="147">
        <v>220070.39999999999</v>
      </c>
      <c r="E330" s="51"/>
      <c r="F330" s="52"/>
    </row>
    <row r="331" spans="2:7" outlineLevel="1" x14ac:dyDescent="0.25">
      <c r="B331" s="104" t="s">
        <v>381</v>
      </c>
      <c r="C331" s="117" t="s">
        <v>382</v>
      </c>
      <c r="D331" s="118">
        <f>SUM(D332:D334)</f>
        <v>215000</v>
      </c>
      <c r="E331" s="119"/>
      <c r="F331" s="120"/>
    </row>
    <row r="332" spans="2:7" outlineLevel="1" x14ac:dyDescent="0.25">
      <c r="B332" s="151" t="s">
        <v>383</v>
      </c>
      <c r="C332" s="148" t="s">
        <v>384</v>
      </c>
      <c r="D332" s="149">
        <v>100000</v>
      </c>
      <c r="E332" s="150" t="s">
        <v>32</v>
      </c>
      <c r="F332" s="52"/>
      <c r="G332" s="408"/>
    </row>
    <row r="333" spans="2:7" outlineLevel="1" x14ac:dyDescent="0.25">
      <c r="B333" s="151" t="s">
        <v>385</v>
      </c>
      <c r="C333" s="148" t="s">
        <v>386</v>
      </c>
      <c r="D333" s="149">
        <v>12000</v>
      </c>
      <c r="E333" s="150" t="s">
        <v>32</v>
      </c>
      <c r="F333" s="52"/>
      <c r="G333" s="408"/>
    </row>
    <row r="334" spans="2:7" outlineLevel="1" x14ac:dyDescent="0.25">
      <c r="B334" s="151" t="s">
        <v>387</v>
      </c>
      <c r="C334" s="148" t="s">
        <v>388</v>
      </c>
      <c r="D334" s="152">
        <v>103000</v>
      </c>
      <c r="E334" s="150"/>
      <c r="F334" s="52"/>
    </row>
    <row r="335" spans="2:7" x14ac:dyDescent="0.25">
      <c r="B335" s="453" t="s">
        <v>389</v>
      </c>
      <c r="C335" s="454"/>
      <c r="D335" s="22">
        <f>SUM(D336)</f>
        <v>605580.89</v>
      </c>
      <c r="E335" s="23"/>
      <c r="F335" s="24"/>
    </row>
    <row r="336" spans="2:7" ht="15" customHeight="1" x14ac:dyDescent="0.25">
      <c r="B336" s="35">
        <v>7</v>
      </c>
      <c r="C336" s="36" t="s">
        <v>390</v>
      </c>
      <c r="D336" s="37">
        <f>SUM(D337:D340)</f>
        <v>605580.89</v>
      </c>
      <c r="E336" s="38"/>
      <c r="F336" s="39"/>
    </row>
    <row r="337" spans="2:12" x14ac:dyDescent="0.25">
      <c r="B337" s="48"/>
      <c r="C337" s="49" t="s">
        <v>391</v>
      </c>
      <c r="D337" s="153">
        <f>SUM('Lisa 6.1. Lisa 2 Sisustus'!F7:F91)</f>
        <v>501125.89</v>
      </c>
      <c r="E337" s="51"/>
      <c r="F337" s="52" t="s">
        <v>32</v>
      </c>
      <c r="G337" s="409"/>
    </row>
    <row r="338" spans="2:12" x14ac:dyDescent="0.25">
      <c r="B338" s="48"/>
      <c r="C338" s="49" t="s">
        <v>392</v>
      </c>
      <c r="D338" s="154">
        <v>30000</v>
      </c>
      <c r="E338" s="51"/>
      <c r="F338" s="52" t="s">
        <v>32</v>
      </c>
    </row>
    <row r="339" spans="2:12" x14ac:dyDescent="0.25">
      <c r="B339" s="48"/>
      <c r="C339" s="49" t="s">
        <v>393</v>
      </c>
      <c r="D339" s="50">
        <v>65000</v>
      </c>
      <c r="E339" s="51"/>
      <c r="F339" s="52"/>
    </row>
    <row r="340" spans="2:12" x14ac:dyDescent="0.25">
      <c r="B340" s="48"/>
      <c r="C340" s="49" t="s">
        <v>394</v>
      </c>
      <c r="D340" s="50">
        <v>9455</v>
      </c>
      <c r="E340" s="51"/>
      <c r="F340" s="52"/>
      <c r="J340" s="406"/>
    </row>
    <row r="341" spans="2:12" x14ac:dyDescent="0.25">
      <c r="B341" s="448" t="s">
        <v>395</v>
      </c>
      <c r="C341" s="449"/>
      <c r="D341" s="22">
        <f>SUM(D342)</f>
        <v>262045.7</v>
      </c>
      <c r="E341" s="23"/>
      <c r="F341" s="24"/>
    </row>
    <row r="342" spans="2:12" x14ac:dyDescent="0.25">
      <c r="B342" s="155">
        <v>8</v>
      </c>
      <c r="C342" s="156" t="s">
        <v>396</v>
      </c>
      <c r="D342" s="157">
        <f>SUM(D343:D345)</f>
        <v>262045.7</v>
      </c>
      <c r="E342" s="38"/>
      <c r="F342" s="39"/>
      <c r="J342" s="434"/>
    </row>
    <row r="343" spans="2:12" x14ac:dyDescent="0.25">
      <c r="B343" s="158"/>
      <c r="C343" s="159" t="s">
        <v>397</v>
      </c>
      <c r="D343" s="160">
        <v>0</v>
      </c>
      <c r="E343" s="161"/>
      <c r="F343" s="162"/>
    </row>
    <row r="344" spans="2:12" x14ac:dyDescent="0.25">
      <c r="B344" s="158"/>
      <c r="C344" s="159" t="s">
        <v>398</v>
      </c>
      <c r="D344" s="404">
        <v>262045.7</v>
      </c>
      <c r="E344" s="161"/>
      <c r="F344" s="162"/>
    </row>
    <row r="345" spans="2:12" ht="15.75" thickBot="1" x14ac:dyDescent="0.3">
      <c r="B345" s="158"/>
      <c r="C345" s="159" t="s">
        <v>399</v>
      </c>
      <c r="D345" s="160">
        <v>0</v>
      </c>
      <c r="E345" s="161"/>
      <c r="F345" s="162"/>
    </row>
    <row r="346" spans="2:12" ht="15.75" thickBot="1" x14ac:dyDescent="0.3">
      <c r="B346" s="439" t="s">
        <v>400</v>
      </c>
      <c r="C346" s="440"/>
      <c r="D346" s="163">
        <f>SUM(D8,D25,D335)-D337-D22-D31-SUM(D332:D333)-D334</f>
        <v>6456282.9943313189</v>
      </c>
      <c r="E346" s="164">
        <f>SUMIF(E8:E345,"x",D8:D345)</f>
        <v>516099.05302283308</v>
      </c>
      <c r="F346" s="165">
        <f>SUMIF(F8:F345,"x",D8:D345)</f>
        <v>531125.89</v>
      </c>
      <c r="G346" s="47"/>
      <c r="H346" s="406"/>
      <c r="I346" s="406"/>
      <c r="J346" s="434"/>
      <c r="K346" s="406"/>
      <c r="L346" s="406"/>
    </row>
    <row r="347" spans="2:12" ht="15.75" thickBot="1" x14ac:dyDescent="0.3">
      <c r="B347" s="439" t="s">
        <v>401</v>
      </c>
      <c r="C347" s="440"/>
      <c r="D347" s="163">
        <f>SUM(D8,D25,D335)</f>
        <v>7484326.8944638902</v>
      </c>
      <c r="E347" s="166"/>
      <c r="F347" s="167"/>
      <c r="G347" s="47"/>
      <c r="H347" s="406"/>
      <c r="I347" s="406"/>
      <c r="J347" s="434"/>
      <c r="K347" s="406"/>
      <c r="L347" s="406"/>
    </row>
    <row r="348" spans="2:12" x14ac:dyDescent="0.25">
      <c r="B348" s="457" t="s">
        <v>402</v>
      </c>
      <c r="C348" s="458"/>
      <c r="D348" s="421">
        <f>SUM(D349)</f>
        <v>415821.92363381665</v>
      </c>
      <c r="E348" s="168"/>
      <c r="F348" s="168"/>
      <c r="G348" s="406"/>
      <c r="I348" s="3"/>
      <c r="J348" s="406"/>
      <c r="K348" s="406"/>
    </row>
    <row r="349" spans="2:12" x14ac:dyDescent="0.25">
      <c r="B349" s="169">
        <v>9</v>
      </c>
      <c r="C349" s="170" t="s">
        <v>403</v>
      </c>
      <c r="D349" s="438">
        <v>415821.92363381665</v>
      </c>
      <c r="E349" s="422"/>
      <c r="F349" s="171"/>
      <c r="I349" s="114"/>
      <c r="K349" s="406"/>
    </row>
    <row r="350" spans="2:12" x14ac:dyDescent="0.25">
      <c r="B350" s="448" t="s">
        <v>404</v>
      </c>
      <c r="C350" s="449"/>
      <c r="D350" s="22">
        <f>SUM(D351)</f>
        <v>174580.02511159726</v>
      </c>
      <c r="E350" s="168"/>
      <c r="F350" s="168"/>
      <c r="J350" s="435"/>
      <c r="K350" s="406"/>
    </row>
    <row r="351" spans="2:12" ht="15.75" thickBot="1" x14ac:dyDescent="0.3">
      <c r="B351" s="155">
        <v>10</v>
      </c>
      <c r="C351" s="172">
        <v>2.5000000000000001E-2</v>
      </c>
      <c r="D351" s="157">
        <f>SUM(D346,D22,D31,D331)*C351</f>
        <v>174580.02511159726</v>
      </c>
      <c r="E351" s="422"/>
      <c r="F351" s="406"/>
      <c r="J351" s="406"/>
      <c r="K351" s="406"/>
      <c r="L351" s="406"/>
    </row>
    <row r="352" spans="2:12" ht="15.75" thickBot="1" x14ac:dyDescent="0.3">
      <c r="B352" s="439" t="s">
        <v>405</v>
      </c>
      <c r="C352" s="440"/>
      <c r="D352" s="163">
        <f>SUM(D346++D348+D350)</f>
        <v>7046684.9430767326</v>
      </c>
      <c r="E352" s="168"/>
      <c r="F352" s="406"/>
      <c r="J352" s="406"/>
      <c r="K352" s="436"/>
      <c r="L352" s="171"/>
    </row>
    <row r="353" spans="2:12" x14ac:dyDescent="0.25">
      <c r="B353" s="457" t="s">
        <v>406</v>
      </c>
      <c r="C353" s="458"/>
      <c r="D353" s="423">
        <f>SUM(D354)</f>
        <v>0</v>
      </c>
      <c r="E353" s="168"/>
      <c r="F353" s="168"/>
      <c r="J353" s="168"/>
      <c r="K353" s="437"/>
      <c r="L353" s="168"/>
    </row>
    <row r="354" spans="2:12" ht="15.75" thickBot="1" x14ac:dyDescent="0.3">
      <c r="B354" s="173">
        <v>11</v>
      </c>
      <c r="C354" s="174" t="s">
        <v>407</v>
      </c>
      <c r="D354" s="424"/>
      <c r="E354" s="422"/>
      <c r="F354" s="175"/>
    </row>
    <row r="355" spans="2:12" ht="15.75" thickBot="1" x14ac:dyDescent="0.3">
      <c r="B355" s="439" t="s">
        <v>408</v>
      </c>
      <c r="C355" s="440"/>
      <c r="D355" s="163">
        <f>D352-D353</f>
        <v>7046684.9430767326</v>
      </c>
      <c r="E355" s="168"/>
      <c r="F355" s="168"/>
    </row>
    <row r="356" spans="2:12" x14ac:dyDescent="0.25">
      <c r="B356" s="457" t="s">
        <v>409</v>
      </c>
      <c r="C356" s="458"/>
      <c r="D356" s="423">
        <f>SUM(D357)</f>
        <v>1409336.9886153466</v>
      </c>
      <c r="E356" s="168"/>
      <c r="F356" s="168"/>
    </row>
    <row r="357" spans="2:12" x14ac:dyDescent="0.25">
      <c r="B357" s="169">
        <v>12</v>
      </c>
      <c r="C357" s="176">
        <v>0.2</v>
      </c>
      <c r="D357" s="37">
        <f>D352*C357</f>
        <v>1409336.9886153466</v>
      </c>
      <c r="E357" s="422"/>
      <c r="F357" s="177"/>
    </row>
    <row r="358" spans="2:12" ht="15.75" thickBot="1" x14ac:dyDescent="0.3">
      <c r="B358" s="455" t="s">
        <v>410</v>
      </c>
      <c r="C358" s="456"/>
      <c r="D358" s="425">
        <f>SUM(D355+D356)</f>
        <v>8456021.9316920787</v>
      </c>
      <c r="E358" s="168"/>
      <c r="F358" s="168"/>
    </row>
    <row r="359" spans="2:12" x14ac:dyDescent="0.25">
      <c r="B359" s="168"/>
    </row>
    <row r="360" spans="2:12" x14ac:dyDescent="0.25">
      <c r="B360" s="168"/>
      <c r="D360" s="178"/>
      <c r="F360" s="47"/>
    </row>
    <row r="361" spans="2:12" x14ac:dyDescent="0.25">
      <c r="B361" s="168"/>
      <c r="D361" s="178"/>
      <c r="E361" s="47"/>
      <c r="F361" s="47"/>
    </row>
    <row r="362" spans="2:12" x14ac:dyDescent="0.25">
      <c r="B362" s="168"/>
      <c r="D362" s="178"/>
      <c r="F362" s="47"/>
    </row>
    <row r="363" spans="2:12" x14ac:dyDescent="0.25">
      <c r="B363" s="168"/>
      <c r="D363" s="178"/>
    </row>
    <row r="364" spans="2:12" x14ac:dyDescent="0.25">
      <c r="B364" s="168"/>
      <c r="C364" s="114"/>
    </row>
    <row r="365" spans="2:12" x14ac:dyDescent="0.25">
      <c r="B365" s="168"/>
    </row>
    <row r="367" spans="2:12" x14ac:dyDescent="0.25">
      <c r="C367" s="179"/>
      <c r="D367" s="180"/>
    </row>
    <row r="368" spans="2:12" x14ac:dyDescent="0.25">
      <c r="F368" s="47"/>
    </row>
  </sheetData>
  <mergeCells count="19">
    <mergeCell ref="B358:C358"/>
    <mergeCell ref="B348:C348"/>
    <mergeCell ref="B350:C350"/>
    <mergeCell ref="B352:C352"/>
    <mergeCell ref="B353:C353"/>
    <mergeCell ref="B355:C355"/>
    <mergeCell ref="B356:C356"/>
    <mergeCell ref="B347:C347"/>
    <mergeCell ref="B4:F4"/>
    <mergeCell ref="T4:Z4"/>
    <mergeCell ref="T5:Z5"/>
    <mergeCell ref="AC5:AK5"/>
    <mergeCell ref="I7:J8"/>
    <mergeCell ref="B8:C8"/>
    <mergeCell ref="I20:J21"/>
    <mergeCell ref="B25:C25"/>
    <mergeCell ref="B335:C335"/>
    <mergeCell ref="B341:C341"/>
    <mergeCell ref="B346:C346"/>
  </mergeCells>
  <conditionalFormatting sqref="T15:T17">
    <cfRule type="expression" dxfId="79" priority="19">
      <formula>AND($CE16&lt;&gt;"",$CN16="")</formula>
    </cfRule>
    <cfRule type="expression" dxfId="78" priority="20">
      <formula>$CE16&lt;&gt;""</formula>
    </cfRule>
  </conditionalFormatting>
  <conditionalFormatting sqref="T18 T21">
    <cfRule type="expression" dxfId="77" priority="17">
      <formula>AND($CE20&lt;&gt;"",$CN20="")</formula>
    </cfRule>
    <cfRule type="expression" dxfId="76" priority="18">
      <formula>$CE20&lt;&gt;""</formula>
    </cfRule>
  </conditionalFormatting>
  <conditionalFormatting sqref="T19:T20">
    <cfRule type="expression" dxfId="75" priority="21">
      <formula>AND(#REF!&lt;&gt;"",#REF!="")</formula>
    </cfRule>
    <cfRule type="expression" dxfId="74" priority="22">
      <formula>#REF!&lt;&gt;""</formula>
    </cfRule>
  </conditionalFormatting>
  <conditionalFormatting sqref="T22">
    <cfRule type="expression" dxfId="73" priority="1">
      <formula>AND($CE43&lt;&gt;"",$CN43="")</formula>
    </cfRule>
    <cfRule type="expression" dxfId="72" priority="2">
      <formula>$CE43&lt;&gt;""</formula>
    </cfRule>
  </conditionalFormatting>
  <conditionalFormatting sqref="U8">
    <cfRule type="expression" dxfId="71" priority="5">
      <formula>AND($BS8&lt;&gt;"",$CB8="")</formula>
    </cfRule>
    <cfRule type="expression" dxfId="70" priority="6">
      <formula>$BS8&lt;&gt;""</formula>
    </cfRule>
  </conditionalFormatting>
  <conditionalFormatting sqref="V8:Z8 T8:T14 U9:Z24">
    <cfRule type="expression" dxfId="69" priority="15">
      <formula>AND($CE8&lt;&gt;"",$CN8="")</formula>
    </cfRule>
    <cfRule type="expression" dxfId="68" priority="16">
      <formula>$CE8&lt;&gt;""</formula>
    </cfRule>
  </conditionalFormatting>
  <conditionalFormatting sqref="AC15:AC17">
    <cfRule type="expression" dxfId="67" priority="11">
      <formula>AND($CE35&lt;&gt;"",$CN35="")</formula>
    </cfRule>
    <cfRule type="expression" dxfId="66" priority="12">
      <formula>$CE35&lt;&gt;""</formula>
    </cfRule>
  </conditionalFormatting>
  <conditionalFormatting sqref="AC18 AC21">
    <cfRule type="expression" dxfId="65" priority="9">
      <formula>AND($CE39&lt;&gt;"",$CN39="")</formula>
    </cfRule>
    <cfRule type="expression" dxfId="64" priority="10">
      <formula>$CE39&lt;&gt;""</formula>
    </cfRule>
  </conditionalFormatting>
  <conditionalFormatting sqref="AC19:AC20">
    <cfRule type="expression" dxfId="63" priority="13">
      <formula>AND(#REF!&lt;&gt;"",#REF!="")</formula>
    </cfRule>
    <cfRule type="expression" dxfId="62" priority="14">
      <formula>#REF!&lt;&gt;""</formula>
    </cfRule>
  </conditionalFormatting>
  <conditionalFormatting sqref="AD8">
    <cfRule type="expression" dxfId="61" priority="3">
      <formula>AND($BS27&lt;&gt;"",$CB27="")</formula>
    </cfRule>
    <cfRule type="expression" dxfId="60" priority="4">
      <formula>$BS27&lt;&gt;""</formula>
    </cfRule>
  </conditionalFormatting>
  <conditionalFormatting sqref="AE8:AI8 AC8:AC14 AJ8:AK21 AD9:AI21">
    <cfRule type="expression" dxfId="59" priority="7">
      <formula>AND($CE27&lt;&gt;"",$CN27="")</formula>
    </cfRule>
    <cfRule type="expression" dxfId="58" priority="8">
      <formula>$CE27&lt;&gt;""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225F-4354-4BF0-A8EA-96F107E1F2F5}">
  <sheetPr codeName="Sheet59"/>
  <dimension ref="A1:AV134"/>
  <sheetViews>
    <sheetView tabSelected="1" zoomScale="80" zoomScaleNormal="80" workbookViewId="0">
      <pane xSplit="6" ySplit="6" topLeftCell="G66" activePane="bottomRight" state="frozen"/>
      <selection activeCell="H359" sqref="H359"/>
      <selection pane="topRight" activeCell="H359" sqref="H359"/>
      <selection pane="bottomLeft" activeCell="H359" sqref="H359"/>
      <selection pane="bottomRight" activeCell="L112" sqref="L112"/>
    </sheetView>
  </sheetViews>
  <sheetFormatPr defaultColWidth="9.140625" defaultRowHeight="15" x14ac:dyDescent="0.25"/>
  <cols>
    <col min="1" max="1" width="3" style="77" customWidth="1"/>
    <col min="2" max="2" width="11.28515625" style="181" bestFit="1" customWidth="1"/>
    <col min="3" max="3" width="66.28515625" style="184" customWidth="1"/>
    <col min="4" max="5" width="14.42578125" style="77" customWidth="1"/>
    <col min="6" max="6" width="11.42578125" style="77" bestFit="1" customWidth="1"/>
    <col min="7" max="8" width="12.42578125" style="77" customWidth="1"/>
    <col min="9" max="9" width="3" style="77" customWidth="1"/>
    <col min="10" max="10" width="14.5703125" style="77" customWidth="1"/>
    <col min="11" max="19" width="13.5703125" style="77" customWidth="1"/>
    <col min="20" max="21" width="15" style="77" customWidth="1"/>
    <col min="22" max="22" width="2.85546875" style="77" customWidth="1"/>
    <col min="23" max="23" width="14.140625" style="77" customWidth="1"/>
    <col min="24" max="25" width="12.42578125" style="77" customWidth="1"/>
    <col min="26" max="26" width="2.85546875" style="77" customWidth="1"/>
    <col min="27" max="27" width="14.140625" style="77" customWidth="1"/>
    <col min="28" max="29" width="12.42578125" style="77" customWidth="1"/>
    <col min="30" max="30" width="2.85546875" style="77" customWidth="1"/>
    <col min="31" max="31" width="14.140625" style="77" customWidth="1"/>
    <col min="32" max="33" width="12.42578125" style="77" customWidth="1"/>
    <col min="34" max="34" width="2.85546875" style="77" customWidth="1"/>
    <col min="35" max="36" width="11.5703125" style="77" customWidth="1"/>
    <col min="37" max="37" width="11.42578125" style="77" customWidth="1"/>
    <col min="38" max="38" width="10.140625" style="77" bestFit="1" customWidth="1"/>
    <col min="39" max="39" width="9.140625" style="77"/>
    <col min="40" max="40" width="51.7109375" style="77" customWidth="1"/>
    <col min="41" max="41" width="18.5703125" style="77" customWidth="1"/>
    <col min="42" max="42" width="26.5703125" style="77" customWidth="1"/>
    <col min="43" max="43" width="24.7109375" style="77" customWidth="1"/>
    <col min="44" max="44" width="23" style="77" customWidth="1"/>
    <col min="45" max="48" width="12.42578125" style="77" customWidth="1"/>
    <col min="49" max="49" width="15.85546875" style="77" bestFit="1" customWidth="1"/>
    <col min="50" max="16384" width="9.140625" style="77"/>
  </cols>
  <sheetData>
    <row r="1" spans="1:48" x14ac:dyDescent="0.25">
      <c r="C1" s="182"/>
      <c r="H1" s="183" t="s">
        <v>411</v>
      </c>
      <c r="I1" s="183"/>
    </row>
    <row r="2" spans="1:48" x14ac:dyDescent="0.25">
      <c r="H2" s="185" t="s">
        <v>588</v>
      </c>
      <c r="I2" s="185"/>
      <c r="AI2" s="186"/>
      <c r="AJ2" s="186"/>
      <c r="AK2" s="186"/>
    </row>
    <row r="3" spans="1:48" x14ac:dyDescent="0.25">
      <c r="G3" s="187"/>
      <c r="AI3" s="186"/>
      <c r="AJ3" s="186"/>
      <c r="AK3" s="186"/>
    </row>
    <row r="4" spans="1:48" ht="15.75" x14ac:dyDescent="0.25">
      <c r="C4" s="460" t="s">
        <v>412</v>
      </c>
      <c r="D4" s="460"/>
      <c r="E4" s="460"/>
      <c r="F4" s="460"/>
      <c r="G4" s="460"/>
      <c r="H4" s="460"/>
      <c r="I4" s="189"/>
      <c r="J4" s="460" t="s">
        <v>413</v>
      </c>
      <c r="K4" s="460"/>
      <c r="L4" s="460"/>
      <c r="M4" s="460"/>
      <c r="N4" s="460"/>
      <c r="O4" s="460"/>
      <c r="P4" s="460"/>
      <c r="Q4" s="460"/>
      <c r="R4" s="460"/>
      <c r="S4" s="460"/>
      <c r="T4" s="188"/>
      <c r="U4" s="188"/>
      <c r="W4" s="460" t="s">
        <v>414</v>
      </c>
      <c r="X4" s="460"/>
      <c r="Y4" s="460"/>
      <c r="AA4" s="461" t="s">
        <v>415</v>
      </c>
      <c r="AB4" s="461"/>
      <c r="AC4" s="461"/>
      <c r="AE4" s="461" t="s">
        <v>416</v>
      </c>
      <c r="AF4" s="461"/>
      <c r="AG4" s="461"/>
      <c r="AI4" s="462" t="s">
        <v>417</v>
      </c>
      <c r="AJ4" s="462"/>
      <c r="AK4" s="462"/>
      <c r="AN4" s="459" t="s">
        <v>2</v>
      </c>
      <c r="AO4" s="459"/>
      <c r="AP4" s="459"/>
      <c r="AQ4" s="459"/>
      <c r="AR4" s="459"/>
      <c r="AS4" s="459"/>
      <c r="AT4" s="459"/>
      <c r="AU4" s="459"/>
      <c r="AV4" s="459"/>
    </row>
    <row r="5" spans="1:48" ht="15.75" thickBot="1" x14ac:dyDescent="0.3">
      <c r="F5" s="187"/>
      <c r="AI5" s="186"/>
      <c r="AJ5" s="186"/>
      <c r="AK5" s="186"/>
    </row>
    <row r="6" spans="1:48" ht="45.75" thickBot="1" x14ac:dyDescent="0.3">
      <c r="A6" s="190"/>
      <c r="B6" s="191" t="s">
        <v>418</v>
      </c>
      <c r="C6" s="192" t="s">
        <v>419</v>
      </c>
      <c r="D6" s="193" t="s">
        <v>420</v>
      </c>
      <c r="E6" s="194" t="s">
        <v>421</v>
      </c>
      <c r="F6" s="195" t="s">
        <v>6</v>
      </c>
      <c r="G6" s="196" t="s">
        <v>391</v>
      </c>
      <c r="H6" s="197" t="s">
        <v>422</v>
      </c>
      <c r="I6" s="198"/>
      <c r="J6" s="199" t="s">
        <v>423</v>
      </c>
      <c r="K6" s="200" t="s">
        <v>11</v>
      </c>
      <c r="L6" s="201" t="s">
        <v>424</v>
      </c>
      <c r="M6" s="200" t="s">
        <v>13</v>
      </c>
      <c r="N6" s="202" t="s">
        <v>425</v>
      </c>
      <c r="O6" s="200" t="s">
        <v>15</v>
      </c>
      <c r="P6" s="203" t="s">
        <v>426</v>
      </c>
      <c r="Q6" s="204" t="s">
        <v>427</v>
      </c>
      <c r="R6" s="203" t="s">
        <v>428</v>
      </c>
      <c r="S6" s="200" t="s">
        <v>429</v>
      </c>
      <c r="T6" s="203" t="s">
        <v>430</v>
      </c>
      <c r="U6" s="205" t="s">
        <v>431</v>
      </c>
      <c r="W6" s="206" t="s">
        <v>11</v>
      </c>
      <c r="X6" s="193" t="s">
        <v>13</v>
      </c>
      <c r="Y6" s="205" t="s">
        <v>15</v>
      </c>
      <c r="Z6" s="207"/>
      <c r="AA6" s="206" t="s">
        <v>11</v>
      </c>
      <c r="AB6" s="193" t="s">
        <v>13</v>
      </c>
      <c r="AC6" s="205" t="s">
        <v>15</v>
      </c>
      <c r="AD6" s="207"/>
      <c r="AE6" s="206" t="s">
        <v>11</v>
      </c>
      <c r="AF6" s="193" t="s">
        <v>13</v>
      </c>
      <c r="AG6" s="205" t="s">
        <v>15</v>
      </c>
      <c r="AH6" s="207"/>
      <c r="AI6" s="206" t="s">
        <v>11</v>
      </c>
      <c r="AJ6" s="193" t="s">
        <v>13</v>
      </c>
      <c r="AK6" s="208" t="s">
        <v>15</v>
      </c>
      <c r="AN6" s="19" t="s">
        <v>16</v>
      </c>
      <c r="AO6" s="19" t="s">
        <v>17</v>
      </c>
      <c r="AP6" s="19" t="s">
        <v>18</v>
      </c>
      <c r="AQ6" s="19" t="s">
        <v>19</v>
      </c>
      <c r="AR6" s="19" t="s">
        <v>20</v>
      </c>
      <c r="AS6" s="19" t="s">
        <v>21</v>
      </c>
      <c r="AT6" s="209" t="s">
        <v>22</v>
      </c>
      <c r="AU6" s="21" t="s">
        <v>432</v>
      </c>
      <c r="AV6" s="21" t="s">
        <v>433</v>
      </c>
    </row>
    <row r="7" spans="1:48" x14ac:dyDescent="0.25">
      <c r="A7" s="210">
        <v>0</v>
      </c>
      <c r="B7" s="211" t="s">
        <v>434</v>
      </c>
      <c r="C7" s="212" t="s">
        <v>435</v>
      </c>
      <c r="D7" s="213">
        <f>SUM(J7,L7,N7,P7,R7,T7)</f>
        <v>9</v>
      </c>
      <c r="E7" s="214">
        <v>117.3</v>
      </c>
      <c r="F7" s="215">
        <f t="shared" ref="F7:F82" si="0">IFERROR(SUM(D7*E7),"")</f>
        <v>1055.7</v>
      </c>
      <c r="G7" s="216" t="s">
        <v>32</v>
      </c>
      <c r="H7" s="217"/>
      <c r="I7" s="218" t="str">
        <f t="shared" ref="I7:I70" si="1">IFERROR(IF(SUM(J7,L7,N7,P7,R7,T7)-D7=0,"","K"),"")</f>
        <v/>
      </c>
      <c r="J7" s="219"/>
      <c r="K7" s="220" t="str">
        <f>IF(ISBLANK(J7),"",SUM(J7*$E7))</f>
        <v/>
      </c>
      <c r="L7" s="221"/>
      <c r="M7" s="220" t="str">
        <f t="shared" ref="M7:M82" si="2">IF(ISBLANK(L7),"",SUM(L7*$E7))</f>
        <v/>
      </c>
      <c r="N7" s="222"/>
      <c r="O7" s="220" t="str">
        <f>IF(ISBLANK(N7),"",SUM(N7*$E7))</f>
        <v/>
      </c>
      <c r="P7" s="223"/>
      <c r="Q7" s="220" t="str">
        <f t="shared" ref="Q7:Q70" si="3">IF(ISBLANK(P7),"",SUM(P7*$E7))</f>
        <v/>
      </c>
      <c r="R7" s="224"/>
      <c r="S7" s="225" t="str">
        <f t="shared" ref="S7:S82" si="4">IF(ISBLANK(R7),"",SUM(R7*$E7))</f>
        <v/>
      </c>
      <c r="T7" s="226">
        <v>9</v>
      </c>
      <c r="U7" s="227">
        <f t="shared" ref="U7:U82" si="5">IF(ISBLANK(T7),"",SUM(T7*$E7))</f>
        <v>1055.7</v>
      </c>
      <c r="V7" s="228"/>
      <c r="W7" s="229" t="str">
        <f t="shared" ref="W7:W70" si="6">IFERROR(IF(ISBLANK($S7),"",$S7*$AT$7),"")</f>
        <v/>
      </c>
      <c r="X7" s="230" t="str">
        <f t="shared" ref="X7:X70" si="7">IFERROR(IF(ISBLANK($S7),"",$S7*$AT$8),"")</f>
        <v/>
      </c>
      <c r="Y7" s="231" t="str">
        <f>IFERROR(IF(ISBLANK($S7),"",$S7*$AT$9),"")</f>
        <v/>
      </c>
      <c r="Z7" s="232" t="str">
        <f t="shared" ref="Z7:Z38" si="8">IF(SUM(S7)=SUM(W7:Y7),"","K")</f>
        <v/>
      </c>
      <c r="AA7" s="233">
        <f t="shared" ref="AA7:AA70" si="9">IFERROR(IF(ISBLANK($U7),"",$U7*$AV$7),"")</f>
        <v>1055.7</v>
      </c>
      <c r="AB7" s="234" t="str">
        <f t="shared" ref="AB7:AB70" si="10">IFERROR(IF(ISBLANK($U7),"",IF($U7*$AV$8=0,"",$U7*$AV$8)),"")</f>
        <v/>
      </c>
      <c r="AC7" s="235" t="str">
        <f t="shared" ref="AC7:AC70" si="11">IFERROR(IF(ISBLANK($U7),"",IF($U7*$AV$9=0,"",$U7*$AV$9)),"")</f>
        <v/>
      </c>
      <c r="AD7" s="232" t="str">
        <f t="shared" ref="AD7:AD70" si="12">IF(SUM(U7)=SUM(AA7:AC7),"","K")</f>
        <v/>
      </c>
      <c r="AE7" s="233" t="str">
        <f>IFERROR(IF(ISBLANK($Q7),"",$Q7*75%),"")</f>
        <v/>
      </c>
      <c r="AF7" s="234" t="str">
        <f>IFERROR(IF(ISBLANK($Q7),"",IF($Q7*25%=0,"",$Q7*25%)),"")</f>
        <v/>
      </c>
      <c r="AG7" s="235" t="str">
        <f>IFERROR(IF(ISBLANK($U7),"",IF($U7*0%=0,"",$U7*0%)),"")</f>
        <v/>
      </c>
      <c r="AH7" s="232" t="str">
        <f>IF(SUM(Q7)=SUM(AE7:AG7),"","K")</f>
        <v/>
      </c>
      <c r="AI7" s="236">
        <f>IF(SUM(K7,W7,AA7,AE7)=0,"",SUM(K7,W7,AA7,AE7))</f>
        <v>1055.7</v>
      </c>
      <c r="AJ7" s="237" t="str">
        <f>IF(SUM(M7,X7,AB7,AF7)=0,"",SUM(M7,X7,AB7,AF7))</f>
        <v/>
      </c>
      <c r="AK7" s="238" t="str">
        <f>IF(SUM(O7,Y7,AC7,AG7)=0,"",SUM(O7,Y7,AC7,AG7))</f>
        <v/>
      </c>
      <c r="AL7" s="429"/>
      <c r="AN7" s="30" t="s">
        <v>26</v>
      </c>
      <c r="AO7" s="31">
        <v>1534.5000000000005</v>
      </c>
      <c r="AP7" s="31">
        <v>334.3</v>
      </c>
      <c r="AQ7" s="31">
        <v>377.99744318181831</v>
      </c>
      <c r="AR7" s="31">
        <v>105.74999999999999</v>
      </c>
      <c r="AS7" s="31">
        <v>2352.5474431818188</v>
      </c>
      <c r="AT7" s="239">
        <v>0.8145375816016267</v>
      </c>
      <c r="AU7" s="31">
        <f>AS7</f>
        <v>2352.5474431818188</v>
      </c>
      <c r="AV7" s="240">
        <f>AU7/$AU$10</f>
        <v>1</v>
      </c>
    </row>
    <row r="8" spans="1:48" x14ac:dyDescent="0.25">
      <c r="A8" s="210">
        <v>0</v>
      </c>
      <c r="B8" s="241" t="s">
        <v>436</v>
      </c>
      <c r="C8" s="242" t="s">
        <v>437</v>
      </c>
      <c r="D8" s="243">
        <f t="shared" ref="D8:D71" si="13">SUM(J8,L8,N8,P8,R8,T8)</f>
        <v>4</v>
      </c>
      <c r="E8" s="244">
        <v>320</v>
      </c>
      <c r="F8" s="245">
        <f t="shared" si="0"/>
        <v>1280</v>
      </c>
      <c r="G8" s="246" t="s">
        <v>32</v>
      </c>
      <c r="H8" s="247"/>
      <c r="I8" s="218" t="str">
        <f t="shared" si="1"/>
        <v/>
      </c>
      <c r="J8" s="248"/>
      <c r="K8" s="249" t="str">
        <f t="shared" ref="K8:K71" si="14">IF(ISBLANK(J8),"",SUM(J8*$E8))</f>
        <v/>
      </c>
      <c r="L8" s="250"/>
      <c r="M8" s="249" t="str">
        <f t="shared" si="2"/>
        <v/>
      </c>
      <c r="N8" s="251"/>
      <c r="O8" s="249" t="str">
        <f t="shared" ref="O8:O71" si="15">IF(ISBLANK(N8),"",SUM(N8*$E8))</f>
        <v/>
      </c>
      <c r="P8" s="252"/>
      <c r="Q8" s="249" t="str">
        <f t="shared" si="3"/>
        <v/>
      </c>
      <c r="R8" s="253"/>
      <c r="S8" s="249" t="str">
        <f t="shared" si="4"/>
        <v/>
      </c>
      <c r="T8" s="254">
        <v>4</v>
      </c>
      <c r="U8" s="255">
        <f t="shared" si="5"/>
        <v>1280</v>
      </c>
      <c r="V8" s="228"/>
      <c r="W8" s="256" t="str">
        <f t="shared" si="6"/>
        <v/>
      </c>
      <c r="X8" s="257" t="str">
        <f t="shared" si="7"/>
        <v/>
      </c>
      <c r="Y8" s="258" t="str">
        <f t="shared" ref="Y8:Y71" si="16">IFERROR(IF(ISBLANK($S8),"",$S8*$AT$20),"")</f>
        <v/>
      </c>
      <c r="Z8" s="232" t="str">
        <f t="shared" si="8"/>
        <v/>
      </c>
      <c r="AA8" s="256">
        <f t="shared" si="9"/>
        <v>1280</v>
      </c>
      <c r="AB8" s="257" t="str">
        <f t="shared" si="10"/>
        <v/>
      </c>
      <c r="AC8" s="258" t="str">
        <f t="shared" si="11"/>
        <v/>
      </c>
      <c r="AD8" s="232" t="str">
        <f t="shared" si="12"/>
        <v/>
      </c>
      <c r="AE8" s="256" t="str">
        <f t="shared" ref="AE8:AE71" si="17">IFERROR(IF(ISBLANK($Q8),"",$Q8*75%),"")</f>
        <v/>
      </c>
      <c r="AF8" s="257" t="str">
        <f t="shared" ref="AF8:AF71" si="18">IFERROR(IF(ISBLANK($Q8),"",IF($Q8*25%=0,"",$Q8*25%)),"")</f>
        <v/>
      </c>
      <c r="AG8" s="258" t="str">
        <f t="shared" ref="AG8:AG71" si="19">IFERROR(IF(ISBLANK($U8),"",IF($U8*0%=0,"",$U8*0%)),"")</f>
        <v/>
      </c>
      <c r="AH8" s="232" t="str">
        <f t="shared" ref="AH8:AH71" si="20">IF(SUM(Q8)=SUM(AE8:AG8),"","K")</f>
        <v/>
      </c>
      <c r="AI8" s="259">
        <f t="shared" ref="AI8:AI71" si="21">IF(SUM(K8,W8,AA8,AE8)=0,"",SUM(K8,W8,AA8,AE8))</f>
        <v>1280</v>
      </c>
      <c r="AJ8" s="260" t="str">
        <f t="shared" ref="AJ8:AJ71" si="22">IF(SUM(M8,X8,AB8,AF8)=0,"",SUM(M8,X8,AB8,AF8))</f>
        <v/>
      </c>
      <c r="AK8" s="261" t="str">
        <f t="shared" ref="AK8:AK71" si="23">IF(SUM(O8,Y8,AC8,AG8)=0,"",SUM(O8,Y8,AC8,AG8))</f>
        <v/>
      </c>
      <c r="AL8" s="429"/>
      <c r="AN8" s="30" t="s">
        <v>30</v>
      </c>
      <c r="AO8" s="31">
        <v>401.5</v>
      </c>
      <c r="AP8" s="31">
        <v>0</v>
      </c>
      <c r="AQ8" s="31">
        <v>98.902556818181822</v>
      </c>
      <c r="AR8" s="31">
        <v>35.25</v>
      </c>
      <c r="AS8" s="31">
        <v>535.65255681818189</v>
      </c>
      <c r="AT8" s="239">
        <v>0.1854624183983733</v>
      </c>
      <c r="AU8" s="31">
        <f>AS8-AS8</f>
        <v>0</v>
      </c>
      <c r="AV8" s="240">
        <f t="shared" ref="AV8:AV10" si="24">AU8/$AU$10</f>
        <v>0</v>
      </c>
    </row>
    <row r="9" spans="1:48" x14ac:dyDescent="0.25">
      <c r="A9" s="210">
        <v>0</v>
      </c>
      <c r="B9" s="241" t="s">
        <v>438</v>
      </c>
      <c r="C9" s="242" t="s">
        <v>439</v>
      </c>
      <c r="D9" s="243">
        <f t="shared" si="13"/>
        <v>16</v>
      </c>
      <c r="E9" s="244">
        <v>280</v>
      </c>
      <c r="F9" s="245">
        <f t="shared" si="0"/>
        <v>4480</v>
      </c>
      <c r="G9" s="246" t="s">
        <v>32</v>
      </c>
      <c r="H9" s="247"/>
      <c r="I9" s="218" t="str">
        <f t="shared" si="1"/>
        <v/>
      </c>
      <c r="J9" s="248"/>
      <c r="K9" s="249" t="str">
        <f t="shared" si="14"/>
        <v/>
      </c>
      <c r="L9" s="250"/>
      <c r="M9" s="249" t="str">
        <f t="shared" si="2"/>
        <v/>
      </c>
      <c r="N9" s="251"/>
      <c r="O9" s="249" t="str">
        <f t="shared" si="15"/>
        <v/>
      </c>
      <c r="P9" s="252"/>
      <c r="Q9" s="249" t="str">
        <f t="shared" si="3"/>
        <v/>
      </c>
      <c r="R9" s="253"/>
      <c r="S9" s="249" t="str">
        <f t="shared" si="4"/>
        <v/>
      </c>
      <c r="T9" s="254">
        <v>16</v>
      </c>
      <c r="U9" s="255">
        <f t="shared" si="5"/>
        <v>4480</v>
      </c>
      <c r="V9" s="228"/>
      <c r="W9" s="256" t="str">
        <f t="shared" si="6"/>
        <v/>
      </c>
      <c r="X9" s="257" t="str">
        <f t="shared" si="7"/>
        <v/>
      </c>
      <c r="Y9" s="258" t="str">
        <f t="shared" si="16"/>
        <v/>
      </c>
      <c r="Z9" s="232" t="str">
        <f t="shared" si="8"/>
        <v/>
      </c>
      <c r="AA9" s="256">
        <f t="shared" si="9"/>
        <v>4480</v>
      </c>
      <c r="AB9" s="257" t="str">
        <f t="shared" si="10"/>
        <v/>
      </c>
      <c r="AC9" s="258" t="str">
        <f t="shared" si="11"/>
        <v/>
      </c>
      <c r="AD9" s="232" t="str">
        <f t="shared" si="12"/>
        <v/>
      </c>
      <c r="AE9" s="256" t="str">
        <f t="shared" si="17"/>
        <v/>
      </c>
      <c r="AF9" s="257" t="str">
        <f t="shared" si="18"/>
        <v/>
      </c>
      <c r="AG9" s="258" t="str">
        <f t="shared" si="19"/>
        <v/>
      </c>
      <c r="AH9" s="232" t="str">
        <f t="shared" si="20"/>
        <v/>
      </c>
      <c r="AI9" s="259">
        <f t="shared" si="21"/>
        <v>4480</v>
      </c>
      <c r="AJ9" s="260" t="str">
        <f t="shared" si="22"/>
        <v/>
      </c>
      <c r="AK9" s="261" t="str">
        <f t="shared" si="23"/>
        <v/>
      </c>
      <c r="AL9" s="429"/>
      <c r="AN9" s="60" t="s">
        <v>34</v>
      </c>
      <c r="AO9" s="61">
        <v>0</v>
      </c>
      <c r="AP9" s="61">
        <v>0</v>
      </c>
      <c r="AQ9" s="61">
        <v>0</v>
      </c>
      <c r="AR9" s="61">
        <v>0</v>
      </c>
      <c r="AS9" s="61">
        <v>0</v>
      </c>
      <c r="AT9" s="262">
        <v>0</v>
      </c>
      <c r="AU9" s="61">
        <f>AS9</f>
        <v>0</v>
      </c>
      <c r="AV9" s="263">
        <f t="shared" si="24"/>
        <v>0</v>
      </c>
    </row>
    <row r="10" spans="1:48" x14ac:dyDescent="0.25">
      <c r="A10" s="210">
        <v>0</v>
      </c>
      <c r="B10" s="241" t="s">
        <v>440</v>
      </c>
      <c r="C10" s="242" t="s">
        <v>441</v>
      </c>
      <c r="D10" s="243">
        <f t="shared" si="13"/>
        <v>22</v>
      </c>
      <c r="E10" s="244">
        <v>897</v>
      </c>
      <c r="F10" s="245">
        <f t="shared" si="0"/>
        <v>19734</v>
      </c>
      <c r="G10" s="246" t="s">
        <v>32</v>
      </c>
      <c r="H10" s="247"/>
      <c r="I10" s="218" t="str">
        <f t="shared" si="1"/>
        <v/>
      </c>
      <c r="J10" s="248">
        <v>9</v>
      </c>
      <c r="K10" s="249">
        <f t="shared" si="14"/>
        <v>8073</v>
      </c>
      <c r="L10" s="264">
        <v>4</v>
      </c>
      <c r="M10" s="249">
        <f t="shared" si="2"/>
        <v>3588</v>
      </c>
      <c r="N10" s="265"/>
      <c r="O10" s="249" t="str">
        <f t="shared" si="15"/>
        <v/>
      </c>
      <c r="P10" s="252"/>
      <c r="Q10" s="249" t="str">
        <f t="shared" si="3"/>
        <v/>
      </c>
      <c r="R10" s="266">
        <v>4</v>
      </c>
      <c r="S10" s="249">
        <f t="shared" si="4"/>
        <v>3588</v>
      </c>
      <c r="T10" s="254">
        <v>5</v>
      </c>
      <c r="U10" s="255">
        <f t="shared" si="5"/>
        <v>4485</v>
      </c>
      <c r="V10" s="228"/>
      <c r="W10" s="256">
        <f t="shared" si="6"/>
        <v>2922.5608427866364</v>
      </c>
      <c r="X10" s="257">
        <f t="shared" si="7"/>
        <v>665.43915721336339</v>
      </c>
      <c r="Y10" s="258">
        <f t="shared" si="16"/>
        <v>0</v>
      </c>
      <c r="Z10" s="232" t="str">
        <f t="shared" si="8"/>
        <v/>
      </c>
      <c r="AA10" s="256">
        <f t="shared" si="9"/>
        <v>4485</v>
      </c>
      <c r="AB10" s="257" t="str">
        <f t="shared" si="10"/>
        <v/>
      </c>
      <c r="AC10" s="258" t="str">
        <f t="shared" si="11"/>
        <v/>
      </c>
      <c r="AD10" s="232" t="str">
        <f t="shared" si="12"/>
        <v/>
      </c>
      <c r="AE10" s="256" t="str">
        <f t="shared" si="17"/>
        <v/>
      </c>
      <c r="AF10" s="257" t="str">
        <f t="shared" si="18"/>
        <v/>
      </c>
      <c r="AG10" s="258" t="str">
        <f t="shared" si="19"/>
        <v/>
      </c>
      <c r="AH10" s="232" t="str">
        <f t="shared" si="20"/>
        <v/>
      </c>
      <c r="AI10" s="259">
        <f t="shared" si="21"/>
        <v>15480.560842786635</v>
      </c>
      <c r="AJ10" s="260">
        <f t="shared" si="22"/>
        <v>4253.4391572133636</v>
      </c>
      <c r="AK10" s="261" t="str">
        <f t="shared" si="23"/>
        <v/>
      </c>
      <c r="AL10" s="429"/>
      <c r="AN10" s="60" t="s">
        <v>38</v>
      </c>
      <c r="AO10" s="61">
        <v>1936.0000000000005</v>
      </c>
      <c r="AP10" s="61">
        <v>334.3</v>
      </c>
      <c r="AQ10" s="61">
        <v>476.90000000000015</v>
      </c>
      <c r="AR10" s="61">
        <v>141</v>
      </c>
      <c r="AS10" s="61">
        <v>2888.2000000000007</v>
      </c>
      <c r="AT10" s="262">
        <v>1</v>
      </c>
      <c r="AU10" s="61">
        <f>SUM(AU7:AU9)</f>
        <v>2352.5474431818188</v>
      </c>
      <c r="AV10" s="263">
        <f t="shared" si="24"/>
        <v>1</v>
      </c>
    </row>
    <row r="11" spans="1:48" x14ac:dyDescent="0.25">
      <c r="A11" s="210">
        <v>0</v>
      </c>
      <c r="B11" s="241" t="s">
        <v>442</v>
      </c>
      <c r="C11" s="242" t="s">
        <v>443</v>
      </c>
      <c r="D11" s="243">
        <f t="shared" si="13"/>
        <v>23</v>
      </c>
      <c r="E11" s="244">
        <v>671.6</v>
      </c>
      <c r="F11" s="245">
        <f t="shared" si="0"/>
        <v>15446.800000000001</v>
      </c>
      <c r="G11" s="246" t="s">
        <v>32</v>
      </c>
      <c r="H11" s="247"/>
      <c r="I11" s="218" t="str">
        <f t="shared" si="1"/>
        <v/>
      </c>
      <c r="J11" s="248"/>
      <c r="K11" s="249" t="str">
        <f t="shared" si="14"/>
        <v/>
      </c>
      <c r="L11" s="266">
        <v>6</v>
      </c>
      <c r="M11" s="249">
        <f t="shared" si="2"/>
        <v>4029.6000000000004</v>
      </c>
      <c r="N11" s="251"/>
      <c r="O11" s="249" t="str">
        <f t="shared" si="15"/>
        <v/>
      </c>
      <c r="P11" s="252"/>
      <c r="Q11" s="249" t="str">
        <f t="shared" si="3"/>
        <v/>
      </c>
      <c r="R11" s="266">
        <v>17</v>
      </c>
      <c r="S11" s="249">
        <f t="shared" si="4"/>
        <v>11417.2</v>
      </c>
      <c r="T11" s="254"/>
      <c r="U11" s="255" t="str">
        <f t="shared" si="5"/>
        <v/>
      </c>
      <c r="V11" s="228"/>
      <c r="W11" s="256">
        <f t="shared" si="6"/>
        <v>9299.7384766620926</v>
      </c>
      <c r="X11" s="257">
        <f t="shared" si="7"/>
        <v>2117.4615233379077</v>
      </c>
      <c r="Y11" s="258">
        <f t="shared" si="16"/>
        <v>0</v>
      </c>
      <c r="Z11" s="232" t="str">
        <f t="shared" si="8"/>
        <v/>
      </c>
      <c r="AA11" s="256" t="str">
        <f t="shared" si="9"/>
        <v/>
      </c>
      <c r="AB11" s="257" t="str">
        <f t="shared" si="10"/>
        <v/>
      </c>
      <c r="AC11" s="258" t="str">
        <f t="shared" si="11"/>
        <v/>
      </c>
      <c r="AD11" s="232" t="str">
        <f t="shared" si="12"/>
        <v/>
      </c>
      <c r="AE11" s="256" t="str">
        <f t="shared" si="17"/>
        <v/>
      </c>
      <c r="AF11" s="257" t="str">
        <f t="shared" si="18"/>
        <v/>
      </c>
      <c r="AG11" s="258" t="str">
        <f t="shared" si="19"/>
        <v/>
      </c>
      <c r="AH11" s="232" t="str">
        <f t="shared" si="20"/>
        <v/>
      </c>
      <c r="AI11" s="259">
        <f t="shared" si="21"/>
        <v>9299.7384766620926</v>
      </c>
      <c r="AJ11" s="260">
        <f t="shared" si="22"/>
        <v>6147.0615233379085</v>
      </c>
      <c r="AK11" s="261" t="str">
        <f t="shared" si="23"/>
        <v/>
      </c>
      <c r="AL11" s="429"/>
      <c r="AN11" s="71" t="s">
        <v>42</v>
      </c>
      <c r="AO11" s="72" t="s">
        <v>122</v>
      </c>
      <c r="AP11" s="72" t="s">
        <v>122</v>
      </c>
      <c r="AQ11" s="72" t="s">
        <v>122</v>
      </c>
      <c r="AR11" s="72" t="s">
        <v>122</v>
      </c>
      <c r="AS11" s="72">
        <v>0</v>
      </c>
      <c r="AT11" s="267" t="s">
        <v>122</v>
      </c>
      <c r="AU11" s="61"/>
      <c r="AV11" s="263"/>
    </row>
    <row r="12" spans="1:48" x14ac:dyDescent="0.25">
      <c r="A12" s="210">
        <v>0</v>
      </c>
      <c r="B12" s="241" t="s">
        <v>444</v>
      </c>
      <c r="C12" s="242" t="s">
        <v>445</v>
      </c>
      <c r="D12" s="243">
        <f t="shared" si="13"/>
        <v>2</v>
      </c>
      <c r="E12" s="244">
        <v>741.75</v>
      </c>
      <c r="F12" s="245">
        <f t="shared" si="0"/>
        <v>1483.5</v>
      </c>
      <c r="G12" s="246" t="s">
        <v>32</v>
      </c>
      <c r="H12" s="247"/>
      <c r="I12" s="218" t="str">
        <f t="shared" si="1"/>
        <v/>
      </c>
      <c r="J12" s="248"/>
      <c r="K12" s="249" t="str">
        <f t="shared" si="14"/>
        <v/>
      </c>
      <c r="L12" s="266">
        <v>1</v>
      </c>
      <c r="M12" s="249">
        <f t="shared" si="2"/>
        <v>741.75</v>
      </c>
      <c r="N12" s="251"/>
      <c r="O12" s="249" t="str">
        <f t="shared" si="15"/>
        <v/>
      </c>
      <c r="P12" s="252"/>
      <c r="Q12" s="249" t="str">
        <f t="shared" si="3"/>
        <v/>
      </c>
      <c r="R12" s="266">
        <v>1</v>
      </c>
      <c r="S12" s="249">
        <f t="shared" si="4"/>
        <v>741.75</v>
      </c>
      <c r="T12" s="254"/>
      <c r="U12" s="255" t="str">
        <f t="shared" si="5"/>
        <v/>
      </c>
      <c r="V12" s="228"/>
      <c r="W12" s="256">
        <f t="shared" si="6"/>
        <v>604.18325115300661</v>
      </c>
      <c r="X12" s="257">
        <f t="shared" si="7"/>
        <v>137.56674884699339</v>
      </c>
      <c r="Y12" s="258">
        <f t="shared" si="16"/>
        <v>0</v>
      </c>
      <c r="Z12" s="232" t="str">
        <f t="shared" si="8"/>
        <v/>
      </c>
      <c r="AA12" s="256" t="str">
        <f t="shared" si="9"/>
        <v/>
      </c>
      <c r="AB12" s="257" t="str">
        <f t="shared" si="10"/>
        <v/>
      </c>
      <c r="AC12" s="258" t="str">
        <f t="shared" si="11"/>
        <v/>
      </c>
      <c r="AD12" s="232" t="str">
        <f t="shared" si="12"/>
        <v/>
      </c>
      <c r="AE12" s="256" t="str">
        <f t="shared" si="17"/>
        <v/>
      </c>
      <c r="AF12" s="257" t="str">
        <f t="shared" si="18"/>
        <v/>
      </c>
      <c r="AG12" s="258" t="str">
        <f t="shared" si="19"/>
        <v/>
      </c>
      <c r="AH12" s="232" t="str">
        <f t="shared" si="20"/>
        <v/>
      </c>
      <c r="AI12" s="259">
        <f t="shared" si="21"/>
        <v>604.18325115300661</v>
      </c>
      <c r="AJ12" s="260">
        <f t="shared" si="22"/>
        <v>879.31674884699339</v>
      </c>
      <c r="AK12" s="261" t="str">
        <f t="shared" si="23"/>
        <v/>
      </c>
      <c r="AL12" s="429"/>
      <c r="AN12" s="73"/>
      <c r="AO12" s="74"/>
      <c r="AP12" s="74"/>
      <c r="AQ12" s="74"/>
      <c r="AR12" s="74"/>
      <c r="AS12" s="74"/>
      <c r="AT12" s="268"/>
      <c r="AU12" s="269"/>
      <c r="AV12" s="426"/>
    </row>
    <row r="13" spans="1:48" x14ac:dyDescent="0.25">
      <c r="A13" s="210">
        <v>0</v>
      </c>
      <c r="B13" s="241" t="s">
        <v>446</v>
      </c>
      <c r="C13" s="242" t="s">
        <v>447</v>
      </c>
      <c r="D13" s="243">
        <f t="shared" si="13"/>
        <v>9</v>
      </c>
      <c r="E13" s="244">
        <v>778.55</v>
      </c>
      <c r="F13" s="245">
        <f t="shared" si="0"/>
        <v>7006.95</v>
      </c>
      <c r="G13" s="246" t="s">
        <v>32</v>
      </c>
      <c r="H13" s="247"/>
      <c r="I13" s="218" t="str">
        <f t="shared" si="1"/>
        <v/>
      </c>
      <c r="J13" s="248">
        <v>3</v>
      </c>
      <c r="K13" s="249">
        <f t="shared" si="14"/>
        <v>2335.6499999999996</v>
      </c>
      <c r="L13" s="266"/>
      <c r="M13" s="249" t="str">
        <f t="shared" si="2"/>
        <v/>
      </c>
      <c r="N13" s="251"/>
      <c r="O13" s="249" t="str">
        <f t="shared" si="15"/>
        <v/>
      </c>
      <c r="P13" s="252"/>
      <c r="Q13" s="249" t="str">
        <f t="shared" si="3"/>
        <v/>
      </c>
      <c r="R13" s="266">
        <v>6</v>
      </c>
      <c r="S13" s="249">
        <f t="shared" si="4"/>
        <v>4671.2999999999993</v>
      </c>
      <c r="T13" s="254"/>
      <c r="U13" s="255" t="str">
        <f t="shared" si="5"/>
        <v/>
      </c>
      <c r="V13" s="228"/>
      <c r="W13" s="256">
        <f t="shared" si="6"/>
        <v>3804.9494049356781</v>
      </c>
      <c r="X13" s="257">
        <f t="shared" si="7"/>
        <v>866.35059506432106</v>
      </c>
      <c r="Y13" s="258">
        <f t="shared" si="16"/>
        <v>0</v>
      </c>
      <c r="Z13" s="232" t="str">
        <f t="shared" si="8"/>
        <v/>
      </c>
      <c r="AA13" s="256" t="str">
        <f t="shared" si="9"/>
        <v/>
      </c>
      <c r="AB13" s="257" t="str">
        <f t="shared" si="10"/>
        <v/>
      </c>
      <c r="AC13" s="258" t="str">
        <f t="shared" si="11"/>
        <v/>
      </c>
      <c r="AD13" s="232" t="str">
        <f t="shared" si="12"/>
        <v/>
      </c>
      <c r="AE13" s="256" t="str">
        <f t="shared" si="17"/>
        <v/>
      </c>
      <c r="AF13" s="257" t="str">
        <f t="shared" si="18"/>
        <v/>
      </c>
      <c r="AG13" s="258" t="str">
        <f t="shared" si="19"/>
        <v/>
      </c>
      <c r="AH13" s="232" t="str">
        <f t="shared" si="20"/>
        <v/>
      </c>
      <c r="AI13" s="259">
        <f t="shared" si="21"/>
        <v>6140.5994049356777</v>
      </c>
      <c r="AJ13" s="260">
        <f t="shared" si="22"/>
        <v>866.35059506432106</v>
      </c>
      <c r="AK13" s="261" t="str">
        <f t="shared" si="23"/>
        <v/>
      </c>
      <c r="AL13" s="429"/>
      <c r="AO13" s="78"/>
      <c r="AP13" s="78"/>
      <c r="AQ13" s="78"/>
      <c r="AR13" s="78"/>
      <c r="AS13" s="78"/>
      <c r="AT13" s="270"/>
      <c r="AU13" s="269"/>
      <c r="AV13" s="426"/>
    </row>
    <row r="14" spans="1:48" x14ac:dyDescent="0.25">
      <c r="A14" s="210">
        <v>0</v>
      </c>
      <c r="B14" s="271" t="s">
        <v>448</v>
      </c>
      <c r="C14" s="272" t="s">
        <v>449</v>
      </c>
      <c r="D14" s="243">
        <f t="shared" si="13"/>
        <v>4</v>
      </c>
      <c r="E14" s="273">
        <v>1200</v>
      </c>
      <c r="F14" s="245">
        <f t="shared" si="0"/>
        <v>4800</v>
      </c>
      <c r="G14" s="274" t="s">
        <v>32</v>
      </c>
      <c r="H14" s="275"/>
      <c r="I14" s="276" t="str">
        <f t="shared" si="1"/>
        <v/>
      </c>
      <c r="J14" s="277"/>
      <c r="K14" s="249" t="str">
        <f t="shared" si="14"/>
        <v/>
      </c>
      <c r="L14" s="278"/>
      <c r="M14" s="249" t="str">
        <f t="shared" si="2"/>
        <v/>
      </c>
      <c r="N14" s="279"/>
      <c r="O14" s="249" t="str">
        <f t="shared" si="15"/>
        <v/>
      </c>
      <c r="P14" s="280"/>
      <c r="Q14" s="249" t="str">
        <f t="shared" si="3"/>
        <v/>
      </c>
      <c r="R14" s="278">
        <v>4</v>
      </c>
      <c r="S14" s="249">
        <f t="shared" si="4"/>
        <v>4800</v>
      </c>
      <c r="T14" s="281"/>
      <c r="U14" s="255" t="str">
        <f t="shared" si="5"/>
        <v/>
      </c>
      <c r="V14" s="282"/>
      <c r="W14" s="256">
        <f t="shared" si="6"/>
        <v>3909.7803916878083</v>
      </c>
      <c r="X14" s="257">
        <f t="shared" si="7"/>
        <v>890.21960831219178</v>
      </c>
      <c r="Y14" s="258">
        <f t="shared" si="16"/>
        <v>0</v>
      </c>
      <c r="Z14" s="283" t="str">
        <f t="shared" si="8"/>
        <v/>
      </c>
      <c r="AA14" s="256" t="str">
        <f t="shared" si="9"/>
        <v/>
      </c>
      <c r="AB14" s="257" t="str">
        <f t="shared" si="10"/>
        <v/>
      </c>
      <c r="AC14" s="258" t="str">
        <f t="shared" si="11"/>
        <v/>
      </c>
      <c r="AD14" s="283" t="str">
        <f t="shared" si="12"/>
        <v/>
      </c>
      <c r="AE14" s="256" t="str">
        <f t="shared" si="17"/>
        <v/>
      </c>
      <c r="AF14" s="257" t="str">
        <f t="shared" si="18"/>
        <v/>
      </c>
      <c r="AG14" s="258" t="str">
        <f t="shared" si="19"/>
        <v/>
      </c>
      <c r="AH14" s="283" t="str">
        <f t="shared" si="20"/>
        <v/>
      </c>
      <c r="AI14" s="259">
        <f t="shared" si="21"/>
        <v>3909.7803916878083</v>
      </c>
      <c r="AJ14" s="260">
        <f t="shared" si="22"/>
        <v>890.21960831219178</v>
      </c>
      <c r="AK14" s="261" t="str">
        <f t="shared" si="23"/>
        <v/>
      </c>
      <c r="AL14" s="429"/>
      <c r="AO14" s="78"/>
      <c r="AP14" s="78"/>
      <c r="AQ14" s="78"/>
      <c r="AR14" s="78"/>
      <c r="AS14" s="78"/>
      <c r="AT14" s="270"/>
      <c r="AU14" s="269"/>
      <c r="AV14" s="426"/>
    </row>
    <row r="15" spans="1:48" x14ac:dyDescent="0.25">
      <c r="A15" s="210">
        <v>0</v>
      </c>
      <c r="B15" s="271" t="s">
        <v>450</v>
      </c>
      <c r="C15" s="272" t="s">
        <v>449</v>
      </c>
      <c r="D15" s="243">
        <f t="shared" si="13"/>
        <v>2</v>
      </c>
      <c r="E15" s="273">
        <v>1200</v>
      </c>
      <c r="F15" s="245">
        <f t="shared" si="0"/>
        <v>2400</v>
      </c>
      <c r="G15" s="274" t="s">
        <v>32</v>
      </c>
      <c r="H15" s="275"/>
      <c r="I15" s="276" t="str">
        <f t="shared" si="1"/>
        <v/>
      </c>
      <c r="J15" s="277"/>
      <c r="K15" s="249" t="str">
        <f t="shared" si="14"/>
        <v/>
      </c>
      <c r="L15" s="278"/>
      <c r="M15" s="249" t="str">
        <f t="shared" si="2"/>
        <v/>
      </c>
      <c r="N15" s="279"/>
      <c r="O15" s="249" t="str">
        <f t="shared" si="15"/>
        <v/>
      </c>
      <c r="P15" s="280"/>
      <c r="Q15" s="249" t="str">
        <f t="shared" si="3"/>
        <v/>
      </c>
      <c r="R15" s="278">
        <v>2</v>
      </c>
      <c r="S15" s="249">
        <f t="shared" si="4"/>
        <v>2400</v>
      </c>
      <c r="T15" s="281"/>
      <c r="U15" s="255" t="str">
        <f t="shared" si="5"/>
        <v/>
      </c>
      <c r="V15" s="282"/>
      <c r="W15" s="256">
        <f t="shared" si="6"/>
        <v>1954.8901958439042</v>
      </c>
      <c r="X15" s="257">
        <f t="shared" si="7"/>
        <v>445.10980415609589</v>
      </c>
      <c r="Y15" s="258">
        <f t="shared" si="16"/>
        <v>0</v>
      </c>
      <c r="Z15" s="283" t="str">
        <f t="shared" si="8"/>
        <v/>
      </c>
      <c r="AA15" s="256" t="str">
        <f t="shared" si="9"/>
        <v/>
      </c>
      <c r="AB15" s="257" t="str">
        <f t="shared" si="10"/>
        <v/>
      </c>
      <c r="AC15" s="258" t="str">
        <f t="shared" si="11"/>
        <v/>
      </c>
      <c r="AD15" s="283" t="str">
        <f t="shared" si="12"/>
        <v/>
      </c>
      <c r="AE15" s="256" t="str">
        <f t="shared" si="17"/>
        <v/>
      </c>
      <c r="AF15" s="257" t="str">
        <f t="shared" si="18"/>
        <v/>
      </c>
      <c r="AG15" s="258" t="str">
        <f t="shared" si="19"/>
        <v/>
      </c>
      <c r="AH15" s="283" t="str">
        <f t="shared" si="20"/>
        <v/>
      </c>
      <c r="AI15" s="259">
        <f t="shared" si="21"/>
        <v>1954.8901958439042</v>
      </c>
      <c r="AJ15" s="260">
        <f t="shared" si="22"/>
        <v>445.10980415609589</v>
      </c>
      <c r="AK15" s="261" t="str">
        <f t="shared" si="23"/>
        <v/>
      </c>
      <c r="AL15" s="429"/>
      <c r="AN15" s="86"/>
      <c r="AO15" s="94"/>
      <c r="AP15" s="94"/>
      <c r="AQ15" s="94"/>
      <c r="AR15" s="94"/>
      <c r="AS15" s="94"/>
      <c r="AT15" s="284"/>
      <c r="AU15" s="269"/>
      <c r="AV15" s="426"/>
    </row>
    <row r="16" spans="1:48" x14ac:dyDescent="0.25">
      <c r="A16" s="210">
        <v>0</v>
      </c>
      <c r="B16" s="241" t="s">
        <v>451</v>
      </c>
      <c r="C16" s="242" t="s">
        <v>452</v>
      </c>
      <c r="D16" s="243">
        <f t="shared" si="13"/>
        <v>24</v>
      </c>
      <c r="E16" s="244">
        <v>138</v>
      </c>
      <c r="F16" s="245">
        <f t="shared" si="0"/>
        <v>3312</v>
      </c>
      <c r="G16" s="246" t="s">
        <v>32</v>
      </c>
      <c r="H16" s="247"/>
      <c r="I16" s="218" t="str">
        <f t="shared" si="1"/>
        <v/>
      </c>
      <c r="J16" s="248">
        <v>10</v>
      </c>
      <c r="K16" s="249">
        <f t="shared" si="14"/>
        <v>1380</v>
      </c>
      <c r="L16" s="266">
        <v>8</v>
      </c>
      <c r="M16" s="249">
        <f t="shared" si="2"/>
        <v>1104</v>
      </c>
      <c r="N16" s="251"/>
      <c r="O16" s="249" t="str">
        <f t="shared" si="15"/>
        <v/>
      </c>
      <c r="P16" s="252"/>
      <c r="Q16" s="249" t="str">
        <f t="shared" si="3"/>
        <v/>
      </c>
      <c r="R16" s="266">
        <v>2</v>
      </c>
      <c r="S16" s="249">
        <f t="shared" si="4"/>
        <v>276</v>
      </c>
      <c r="T16" s="254">
        <v>4</v>
      </c>
      <c r="U16" s="255">
        <f t="shared" si="5"/>
        <v>552</v>
      </c>
      <c r="V16" s="228"/>
      <c r="W16" s="256">
        <f t="shared" si="6"/>
        <v>224.81237252204897</v>
      </c>
      <c r="X16" s="257">
        <f t="shared" si="7"/>
        <v>51.187627477951033</v>
      </c>
      <c r="Y16" s="258">
        <f t="shared" si="16"/>
        <v>0</v>
      </c>
      <c r="Z16" s="232" t="str">
        <f t="shared" si="8"/>
        <v/>
      </c>
      <c r="AA16" s="256">
        <f t="shared" si="9"/>
        <v>552</v>
      </c>
      <c r="AB16" s="257" t="str">
        <f t="shared" si="10"/>
        <v/>
      </c>
      <c r="AC16" s="258" t="str">
        <f t="shared" si="11"/>
        <v/>
      </c>
      <c r="AD16" s="232" t="str">
        <f t="shared" si="12"/>
        <v/>
      </c>
      <c r="AE16" s="256" t="str">
        <f t="shared" si="17"/>
        <v/>
      </c>
      <c r="AF16" s="257" t="str">
        <f t="shared" si="18"/>
        <v/>
      </c>
      <c r="AG16" s="258" t="str">
        <f t="shared" si="19"/>
        <v/>
      </c>
      <c r="AH16" s="232" t="str">
        <f t="shared" si="20"/>
        <v/>
      </c>
      <c r="AI16" s="259">
        <f t="shared" si="21"/>
        <v>2156.8123725220489</v>
      </c>
      <c r="AJ16" s="260">
        <f t="shared" si="22"/>
        <v>1155.1876274779511</v>
      </c>
      <c r="AK16" s="261" t="str">
        <f t="shared" si="23"/>
        <v/>
      </c>
      <c r="AL16" s="429"/>
      <c r="AN16" s="86"/>
      <c r="AO16" s="94"/>
      <c r="AP16" s="94"/>
      <c r="AQ16" s="94"/>
      <c r="AR16" s="94"/>
      <c r="AS16" s="94"/>
      <c r="AT16" s="284"/>
      <c r="AU16" s="269"/>
      <c r="AV16" s="426"/>
    </row>
    <row r="17" spans="1:48" x14ac:dyDescent="0.25">
      <c r="A17" s="210">
        <v>0</v>
      </c>
      <c r="B17" s="241" t="s">
        <v>453</v>
      </c>
      <c r="C17" s="242" t="s">
        <v>454</v>
      </c>
      <c r="D17" s="243">
        <f t="shared" si="13"/>
        <v>11</v>
      </c>
      <c r="E17" s="244">
        <v>172.5</v>
      </c>
      <c r="F17" s="245">
        <f t="shared" si="0"/>
        <v>1897.5</v>
      </c>
      <c r="G17" s="246" t="s">
        <v>32</v>
      </c>
      <c r="H17" s="247"/>
      <c r="I17" s="218" t="str">
        <f t="shared" si="1"/>
        <v/>
      </c>
      <c r="J17" s="248">
        <v>8</v>
      </c>
      <c r="K17" s="249">
        <f t="shared" si="14"/>
        <v>1380</v>
      </c>
      <c r="L17" s="266"/>
      <c r="M17" s="249" t="str">
        <f t="shared" si="2"/>
        <v/>
      </c>
      <c r="N17" s="251"/>
      <c r="O17" s="249" t="str">
        <f t="shared" si="15"/>
        <v/>
      </c>
      <c r="P17" s="252"/>
      <c r="Q17" s="249" t="str">
        <f t="shared" si="3"/>
        <v/>
      </c>
      <c r="R17" s="266">
        <v>3</v>
      </c>
      <c r="S17" s="249">
        <f t="shared" si="4"/>
        <v>517.5</v>
      </c>
      <c r="T17" s="254"/>
      <c r="U17" s="255" t="str">
        <f t="shared" si="5"/>
        <v/>
      </c>
      <c r="V17" s="228"/>
      <c r="W17" s="256">
        <f t="shared" si="6"/>
        <v>421.52319847884183</v>
      </c>
      <c r="X17" s="257">
        <f t="shared" si="7"/>
        <v>95.97680152115818</v>
      </c>
      <c r="Y17" s="258">
        <f t="shared" si="16"/>
        <v>0</v>
      </c>
      <c r="Z17" s="232" t="str">
        <f t="shared" si="8"/>
        <v/>
      </c>
      <c r="AA17" s="256" t="str">
        <f t="shared" si="9"/>
        <v/>
      </c>
      <c r="AB17" s="257" t="str">
        <f t="shared" si="10"/>
        <v/>
      </c>
      <c r="AC17" s="258" t="str">
        <f t="shared" si="11"/>
        <v/>
      </c>
      <c r="AD17" s="232" t="str">
        <f t="shared" si="12"/>
        <v/>
      </c>
      <c r="AE17" s="256" t="str">
        <f t="shared" si="17"/>
        <v/>
      </c>
      <c r="AF17" s="257" t="str">
        <f t="shared" si="18"/>
        <v/>
      </c>
      <c r="AG17" s="258" t="str">
        <f t="shared" si="19"/>
        <v/>
      </c>
      <c r="AH17" s="232" t="str">
        <f t="shared" si="20"/>
        <v/>
      </c>
      <c r="AI17" s="259">
        <f t="shared" si="21"/>
        <v>1801.5231984788418</v>
      </c>
      <c r="AJ17" s="260">
        <f t="shared" si="22"/>
        <v>95.97680152115818</v>
      </c>
      <c r="AK17" s="261" t="str">
        <f t="shared" si="23"/>
        <v/>
      </c>
      <c r="AL17" s="429"/>
      <c r="AN17" s="86"/>
      <c r="AO17" s="94"/>
      <c r="AP17" s="94"/>
      <c r="AQ17" s="94"/>
      <c r="AR17" s="94"/>
      <c r="AS17" s="94"/>
      <c r="AT17" s="284"/>
      <c r="AU17" s="269"/>
      <c r="AV17" s="426"/>
    </row>
    <row r="18" spans="1:48" x14ac:dyDescent="0.25">
      <c r="A18" s="210">
        <v>0</v>
      </c>
      <c r="B18" s="241" t="s">
        <v>455</v>
      </c>
      <c r="C18" s="242" t="s">
        <v>456</v>
      </c>
      <c r="D18" s="243">
        <f t="shared" si="13"/>
        <v>14</v>
      </c>
      <c r="E18" s="244">
        <v>80.5</v>
      </c>
      <c r="F18" s="245">
        <f t="shared" si="0"/>
        <v>1127</v>
      </c>
      <c r="G18" s="246" t="s">
        <v>32</v>
      </c>
      <c r="H18" s="247"/>
      <c r="I18" s="218" t="str">
        <f t="shared" si="1"/>
        <v/>
      </c>
      <c r="J18" s="248">
        <v>3</v>
      </c>
      <c r="K18" s="249">
        <f t="shared" si="14"/>
        <v>241.5</v>
      </c>
      <c r="L18" s="285">
        <v>4</v>
      </c>
      <c r="M18" s="249">
        <f t="shared" si="2"/>
        <v>322</v>
      </c>
      <c r="N18" s="251"/>
      <c r="O18" s="249" t="str">
        <f t="shared" si="15"/>
        <v/>
      </c>
      <c r="P18" s="252"/>
      <c r="Q18" s="249" t="str">
        <f t="shared" si="3"/>
        <v/>
      </c>
      <c r="R18" s="266">
        <v>5</v>
      </c>
      <c r="S18" s="249">
        <f t="shared" si="4"/>
        <v>402.5</v>
      </c>
      <c r="T18" s="254">
        <v>2</v>
      </c>
      <c r="U18" s="255">
        <f t="shared" si="5"/>
        <v>161</v>
      </c>
      <c r="V18" s="228"/>
      <c r="W18" s="256">
        <f t="shared" si="6"/>
        <v>327.85137659465477</v>
      </c>
      <c r="X18" s="257">
        <f t="shared" si="7"/>
        <v>74.648623405345248</v>
      </c>
      <c r="Y18" s="258">
        <f t="shared" si="16"/>
        <v>0</v>
      </c>
      <c r="Z18" s="232" t="str">
        <f t="shared" si="8"/>
        <v/>
      </c>
      <c r="AA18" s="256">
        <f t="shared" si="9"/>
        <v>161</v>
      </c>
      <c r="AB18" s="257" t="str">
        <f t="shared" si="10"/>
        <v/>
      </c>
      <c r="AC18" s="258" t="str">
        <f t="shared" si="11"/>
        <v/>
      </c>
      <c r="AD18" s="232" t="str">
        <f t="shared" si="12"/>
        <v/>
      </c>
      <c r="AE18" s="256" t="str">
        <f t="shared" si="17"/>
        <v/>
      </c>
      <c r="AF18" s="257" t="str">
        <f t="shared" si="18"/>
        <v/>
      </c>
      <c r="AG18" s="258" t="str">
        <f t="shared" si="19"/>
        <v/>
      </c>
      <c r="AH18" s="232" t="str">
        <f t="shared" si="20"/>
        <v/>
      </c>
      <c r="AI18" s="259">
        <f t="shared" si="21"/>
        <v>730.35137659465477</v>
      </c>
      <c r="AJ18" s="260">
        <f t="shared" si="22"/>
        <v>396.64862340534523</v>
      </c>
      <c r="AK18" s="261" t="str">
        <f t="shared" si="23"/>
        <v/>
      </c>
      <c r="AL18" s="429"/>
      <c r="AN18" s="86"/>
      <c r="AO18" s="94"/>
      <c r="AP18" s="94"/>
      <c r="AQ18" s="94"/>
      <c r="AR18" s="94"/>
      <c r="AS18" s="94"/>
      <c r="AT18" s="284"/>
      <c r="AU18" s="269"/>
      <c r="AV18" s="426"/>
    </row>
    <row r="19" spans="1:48" x14ac:dyDescent="0.25">
      <c r="A19" s="210">
        <v>0</v>
      </c>
      <c r="B19" s="241" t="s">
        <v>457</v>
      </c>
      <c r="C19" s="242" t="s">
        <v>458</v>
      </c>
      <c r="D19" s="243">
        <f t="shared" si="13"/>
        <v>17</v>
      </c>
      <c r="E19" s="244">
        <v>483</v>
      </c>
      <c r="F19" s="245">
        <f t="shared" si="0"/>
        <v>8211</v>
      </c>
      <c r="G19" s="246" t="s">
        <v>32</v>
      </c>
      <c r="H19" s="247"/>
      <c r="I19" s="218" t="str">
        <f t="shared" si="1"/>
        <v/>
      </c>
      <c r="J19" s="248"/>
      <c r="K19" s="249" t="str">
        <f t="shared" si="14"/>
        <v/>
      </c>
      <c r="L19" s="266"/>
      <c r="M19" s="249" t="str">
        <f t="shared" si="2"/>
        <v/>
      </c>
      <c r="N19" s="251"/>
      <c r="O19" s="249" t="str">
        <f t="shared" si="15"/>
        <v/>
      </c>
      <c r="P19" s="252"/>
      <c r="Q19" s="249" t="str">
        <f t="shared" si="3"/>
        <v/>
      </c>
      <c r="R19" s="264">
        <v>17</v>
      </c>
      <c r="S19" s="249">
        <f t="shared" si="4"/>
        <v>8211</v>
      </c>
      <c r="T19" s="254"/>
      <c r="U19" s="255" t="str">
        <f t="shared" si="5"/>
        <v/>
      </c>
      <c r="V19" s="228"/>
      <c r="W19" s="256">
        <f t="shared" si="6"/>
        <v>6688.1680825309568</v>
      </c>
      <c r="X19" s="257">
        <f t="shared" si="7"/>
        <v>1522.8319174690432</v>
      </c>
      <c r="Y19" s="258">
        <f t="shared" si="16"/>
        <v>0</v>
      </c>
      <c r="Z19" s="232" t="str">
        <f t="shared" si="8"/>
        <v/>
      </c>
      <c r="AA19" s="256" t="str">
        <f t="shared" si="9"/>
        <v/>
      </c>
      <c r="AB19" s="257" t="str">
        <f t="shared" si="10"/>
        <v/>
      </c>
      <c r="AC19" s="258" t="str">
        <f t="shared" si="11"/>
        <v/>
      </c>
      <c r="AD19" s="232" t="str">
        <f t="shared" si="12"/>
        <v/>
      </c>
      <c r="AE19" s="256" t="str">
        <f t="shared" si="17"/>
        <v/>
      </c>
      <c r="AF19" s="257" t="str">
        <f t="shared" si="18"/>
        <v/>
      </c>
      <c r="AG19" s="258" t="str">
        <f t="shared" si="19"/>
        <v/>
      </c>
      <c r="AH19" s="232" t="str">
        <f t="shared" si="20"/>
        <v/>
      </c>
      <c r="AI19" s="259">
        <f t="shared" si="21"/>
        <v>6688.1680825309568</v>
      </c>
      <c r="AJ19" s="260">
        <f t="shared" si="22"/>
        <v>1522.8319174690432</v>
      </c>
      <c r="AK19" s="261" t="str">
        <f t="shared" si="23"/>
        <v/>
      </c>
      <c r="AL19" s="429"/>
      <c r="AN19" s="86"/>
      <c r="AO19" s="94"/>
      <c r="AP19" s="94"/>
      <c r="AQ19" s="94"/>
      <c r="AR19" s="94"/>
      <c r="AS19" s="94"/>
      <c r="AT19" s="284"/>
      <c r="AU19" s="286"/>
      <c r="AV19" s="426"/>
    </row>
    <row r="20" spans="1:48" x14ac:dyDescent="0.25">
      <c r="A20" s="210">
        <v>0</v>
      </c>
      <c r="B20" s="241" t="s">
        <v>459</v>
      </c>
      <c r="C20" s="242" t="s">
        <v>460</v>
      </c>
      <c r="D20" s="243">
        <f t="shared" si="13"/>
        <v>57</v>
      </c>
      <c r="E20" s="244">
        <v>667</v>
      </c>
      <c r="F20" s="245">
        <f t="shared" si="0"/>
        <v>38019</v>
      </c>
      <c r="G20" s="246" t="s">
        <v>32</v>
      </c>
      <c r="H20" s="247"/>
      <c r="I20" s="218" t="str">
        <f t="shared" si="1"/>
        <v/>
      </c>
      <c r="J20" s="248">
        <v>49</v>
      </c>
      <c r="K20" s="249">
        <f t="shared" si="14"/>
        <v>32683</v>
      </c>
      <c r="L20" s="266">
        <v>7</v>
      </c>
      <c r="M20" s="249">
        <f t="shared" si="2"/>
        <v>4669</v>
      </c>
      <c r="N20" s="251"/>
      <c r="O20" s="249" t="str">
        <f t="shared" si="15"/>
        <v/>
      </c>
      <c r="P20" s="252"/>
      <c r="Q20" s="249" t="str">
        <f t="shared" si="3"/>
        <v/>
      </c>
      <c r="R20" s="266">
        <v>1</v>
      </c>
      <c r="S20" s="249">
        <f t="shared" si="4"/>
        <v>667</v>
      </c>
      <c r="T20" s="254"/>
      <c r="U20" s="255" t="str">
        <f t="shared" si="5"/>
        <v/>
      </c>
      <c r="V20" s="228"/>
      <c r="W20" s="256">
        <f t="shared" si="6"/>
        <v>543.29656692828496</v>
      </c>
      <c r="X20" s="257">
        <f t="shared" si="7"/>
        <v>123.70343307171498</v>
      </c>
      <c r="Y20" s="258">
        <f t="shared" si="16"/>
        <v>0</v>
      </c>
      <c r="Z20" s="232" t="str">
        <f t="shared" si="8"/>
        <v/>
      </c>
      <c r="AA20" s="256" t="str">
        <f t="shared" si="9"/>
        <v/>
      </c>
      <c r="AB20" s="257" t="str">
        <f t="shared" si="10"/>
        <v/>
      </c>
      <c r="AC20" s="258" t="str">
        <f t="shared" si="11"/>
        <v/>
      </c>
      <c r="AD20" s="232" t="str">
        <f t="shared" si="12"/>
        <v/>
      </c>
      <c r="AE20" s="256" t="str">
        <f t="shared" si="17"/>
        <v/>
      </c>
      <c r="AF20" s="257" t="str">
        <f t="shared" si="18"/>
        <v/>
      </c>
      <c r="AG20" s="258" t="str">
        <f t="shared" si="19"/>
        <v/>
      </c>
      <c r="AH20" s="232" t="str">
        <f t="shared" si="20"/>
        <v/>
      </c>
      <c r="AI20" s="259">
        <f t="shared" si="21"/>
        <v>33226.296566928286</v>
      </c>
      <c r="AJ20" s="260">
        <f t="shared" si="22"/>
        <v>4792.7034330717152</v>
      </c>
      <c r="AK20" s="261" t="str">
        <f t="shared" si="23"/>
        <v/>
      </c>
      <c r="AL20" s="429"/>
      <c r="AN20" s="96"/>
      <c r="AO20" s="101"/>
      <c r="AP20" s="101"/>
      <c r="AQ20" s="101"/>
      <c r="AR20" s="101"/>
      <c r="AS20" s="101"/>
      <c r="AT20" s="287"/>
      <c r="AU20" s="288"/>
      <c r="AV20" s="427"/>
    </row>
    <row r="21" spans="1:48" x14ac:dyDescent="0.25">
      <c r="A21" s="210">
        <v>0</v>
      </c>
      <c r="B21" s="241" t="s">
        <v>461</v>
      </c>
      <c r="C21" s="242" t="s">
        <v>462</v>
      </c>
      <c r="D21" s="243">
        <f t="shared" si="13"/>
        <v>23</v>
      </c>
      <c r="E21" s="244">
        <v>529</v>
      </c>
      <c r="F21" s="245">
        <f t="shared" si="0"/>
        <v>12167</v>
      </c>
      <c r="G21" s="246" t="s">
        <v>32</v>
      </c>
      <c r="H21" s="247"/>
      <c r="I21" s="218" t="str">
        <f t="shared" si="1"/>
        <v/>
      </c>
      <c r="J21" s="248">
        <v>16</v>
      </c>
      <c r="K21" s="249">
        <f t="shared" si="14"/>
        <v>8464</v>
      </c>
      <c r="L21" s="266">
        <v>7</v>
      </c>
      <c r="M21" s="249">
        <f t="shared" si="2"/>
        <v>3703</v>
      </c>
      <c r="N21" s="251"/>
      <c r="O21" s="249" t="str">
        <f t="shared" si="15"/>
        <v/>
      </c>
      <c r="P21" s="252"/>
      <c r="Q21" s="249" t="str">
        <f t="shared" si="3"/>
        <v/>
      </c>
      <c r="R21" s="266"/>
      <c r="S21" s="249" t="str">
        <f t="shared" si="4"/>
        <v/>
      </c>
      <c r="T21" s="254"/>
      <c r="U21" s="255" t="str">
        <f t="shared" si="5"/>
        <v/>
      </c>
      <c r="V21" s="228"/>
      <c r="W21" s="256" t="str">
        <f t="shared" si="6"/>
        <v/>
      </c>
      <c r="X21" s="257" t="str">
        <f t="shared" si="7"/>
        <v/>
      </c>
      <c r="Y21" s="258" t="str">
        <f t="shared" si="16"/>
        <v/>
      </c>
      <c r="Z21" s="232" t="str">
        <f t="shared" si="8"/>
        <v/>
      </c>
      <c r="AA21" s="256" t="str">
        <f t="shared" si="9"/>
        <v/>
      </c>
      <c r="AB21" s="257" t="str">
        <f t="shared" si="10"/>
        <v/>
      </c>
      <c r="AC21" s="258" t="str">
        <f t="shared" si="11"/>
        <v/>
      </c>
      <c r="AD21" s="232" t="str">
        <f t="shared" si="12"/>
        <v/>
      </c>
      <c r="AE21" s="256" t="str">
        <f t="shared" si="17"/>
        <v/>
      </c>
      <c r="AF21" s="257" t="str">
        <f t="shared" si="18"/>
        <v/>
      </c>
      <c r="AG21" s="258" t="str">
        <f t="shared" si="19"/>
        <v/>
      </c>
      <c r="AH21" s="232" t="str">
        <f t="shared" si="20"/>
        <v/>
      </c>
      <c r="AI21" s="259">
        <f t="shared" si="21"/>
        <v>8464</v>
      </c>
      <c r="AJ21" s="260">
        <f t="shared" si="22"/>
        <v>3703</v>
      </c>
      <c r="AK21" s="261" t="str">
        <f t="shared" si="23"/>
        <v/>
      </c>
      <c r="AL21" s="429"/>
      <c r="AN21" s="96"/>
      <c r="AO21" s="101"/>
      <c r="AP21" s="101"/>
      <c r="AQ21" s="101"/>
      <c r="AR21" s="101"/>
      <c r="AS21" s="101"/>
      <c r="AT21" s="287"/>
      <c r="AU21" s="288"/>
      <c r="AV21" s="427"/>
    </row>
    <row r="22" spans="1:48" x14ac:dyDescent="0.25">
      <c r="A22" s="210">
        <v>0</v>
      </c>
      <c r="B22" s="241" t="s">
        <v>463</v>
      </c>
      <c r="C22" s="242" t="s">
        <v>464</v>
      </c>
      <c r="D22" s="243">
        <f t="shared" si="13"/>
        <v>10</v>
      </c>
      <c r="E22" s="244">
        <v>529</v>
      </c>
      <c r="F22" s="245">
        <f t="shared" si="0"/>
        <v>5290</v>
      </c>
      <c r="G22" s="246" t="s">
        <v>32</v>
      </c>
      <c r="H22" s="247"/>
      <c r="I22" s="218" t="str">
        <f t="shared" si="1"/>
        <v/>
      </c>
      <c r="J22" s="248"/>
      <c r="K22" s="249" t="str">
        <f t="shared" si="14"/>
        <v/>
      </c>
      <c r="L22" s="266">
        <v>10</v>
      </c>
      <c r="M22" s="249">
        <f t="shared" si="2"/>
        <v>5290</v>
      </c>
      <c r="N22" s="251"/>
      <c r="O22" s="249" t="str">
        <f t="shared" si="15"/>
        <v/>
      </c>
      <c r="P22" s="252"/>
      <c r="Q22" s="249" t="str">
        <f t="shared" si="3"/>
        <v/>
      </c>
      <c r="R22" s="266"/>
      <c r="S22" s="249" t="str">
        <f t="shared" si="4"/>
        <v/>
      </c>
      <c r="T22" s="254"/>
      <c r="U22" s="255" t="str">
        <f t="shared" si="5"/>
        <v/>
      </c>
      <c r="V22" s="228"/>
      <c r="W22" s="256" t="str">
        <f t="shared" si="6"/>
        <v/>
      </c>
      <c r="X22" s="257" t="str">
        <f t="shared" si="7"/>
        <v/>
      </c>
      <c r="Y22" s="258" t="str">
        <f t="shared" si="16"/>
        <v/>
      </c>
      <c r="Z22" s="232" t="str">
        <f t="shared" si="8"/>
        <v/>
      </c>
      <c r="AA22" s="256" t="str">
        <f t="shared" si="9"/>
        <v/>
      </c>
      <c r="AB22" s="257" t="str">
        <f t="shared" si="10"/>
        <v/>
      </c>
      <c r="AC22" s="258" t="str">
        <f t="shared" si="11"/>
        <v/>
      </c>
      <c r="AD22" s="232" t="str">
        <f t="shared" si="12"/>
        <v/>
      </c>
      <c r="AE22" s="256" t="str">
        <f t="shared" si="17"/>
        <v/>
      </c>
      <c r="AF22" s="257" t="str">
        <f t="shared" si="18"/>
        <v/>
      </c>
      <c r="AG22" s="258" t="str">
        <f t="shared" si="19"/>
        <v/>
      </c>
      <c r="AH22" s="232" t="str">
        <f t="shared" si="20"/>
        <v/>
      </c>
      <c r="AI22" s="259" t="str">
        <f t="shared" si="21"/>
        <v/>
      </c>
      <c r="AJ22" s="260">
        <f t="shared" si="22"/>
        <v>5290</v>
      </c>
      <c r="AK22" s="261" t="str">
        <f t="shared" si="23"/>
        <v/>
      </c>
      <c r="AL22" s="429"/>
      <c r="AN22" s="100"/>
      <c r="AO22" s="101"/>
      <c r="AP22" s="101"/>
      <c r="AQ22" s="101"/>
      <c r="AR22" s="101"/>
      <c r="AS22" s="101"/>
      <c r="AT22" s="287"/>
    </row>
    <row r="23" spans="1:48" x14ac:dyDescent="0.25">
      <c r="A23" s="210">
        <v>0</v>
      </c>
      <c r="B23" s="241" t="s">
        <v>465</v>
      </c>
      <c r="C23" s="242" t="s">
        <v>466</v>
      </c>
      <c r="D23" s="243">
        <f t="shared" si="13"/>
        <v>4</v>
      </c>
      <c r="E23" s="244">
        <v>713</v>
      </c>
      <c r="F23" s="245">
        <f t="shared" si="0"/>
        <v>2852</v>
      </c>
      <c r="G23" s="246" t="s">
        <v>32</v>
      </c>
      <c r="H23" s="247"/>
      <c r="I23" s="218" t="str">
        <f t="shared" si="1"/>
        <v/>
      </c>
      <c r="J23" s="248">
        <v>3</v>
      </c>
      <c r="K23" s="249">
        <f t="shared" si="14"/>
        <v>2139</v>
      </c>
      <c r="L23" s="266">
        <v>1</v>
      </c>
      <c r="M23" s="249">
        <f t="shared" si="2"/>
        <v>713</v>
      </c>
      <c r="N23" s="251"/>
      <c r="O23" s="249" t="str">
        <f t="shared" si="15"/>
        <v/>
      </c>
      <c r="P23" s="252"/>
      <c r="Q23" s="249" t="str">
        <f t="shared" si="3"/>
        <v/>
      </c>
      <c r="R23" s="266"/>
      <c r="S23" s="249" t="str">
        <f t="shared" si="4"/>
        <v/>
      </c>
      <c r="T23" s="254"/>
      <c r="U23" s="255" t="str">
        <f t="shared" si="5"/>
        <v/>
      </c>
      <c r="V23" s="228"/>
      <c r="W23" s="256" t="str">
        <f t="shared" si="6"/>
        <v/>
      </c>
      <c r="X23" s="257" t="str">
        <f t="shared" si="7"/>
        <v/>
      </c>
      <c r="Y23" s="258" t="str">
        <f t="shared" si="16"/>
        <v/>
      </c>
      <c r="Z23" s="232" t="str">
        <f t="shared" si="8"/>
        <v/>
      </c>
      <c r="AA23" s="256" t="str">
        <f t="shared" si="9"/>
        <v/>
      </c>
      <c r="AB23" s="257" t="str">
        <f t="shared" si="10"/>
        <v/>
      </c>
      <c r="AC23" s="258" t="str">
        <f t="shared" si="11"/>
        <v/>
      </c>
      <c r="AD23" s="232" t="str">
        <f t="shared" si="12"/>
        <v/>
      </c>
      <c r="AE23" s="256" t="str">
        <f t="shared" si="17"/>
        <v/>
      </c>
      <c r="AF23" s="257" t="str">
        <f t="shared" si="18"/>
        <v/>
      </c>
      <c r="AG23" s="258" t="str">
        <f t="shared" si="19"/>
        <v/>
      </c>
      <c r="AH23" s="232" t="str">
        <f t="shared" si="20"/>
        <v/>
      </c>
      <c r="AI23" s="259">
        <f t="shared" si="21"/>
        <v>2139</v>
      </c>
      <c r="AJ23" s="260">
        <f t="shared" si="22"/>
        <v>713</v>
      </c>
      <c r="AK23" s="261" t="str">
        <f t="shared" si="23"/>
        <v/>
      </c>
      <c r="AL23" s="429"/>
      <c r="AN23" s="96"/>
      <c r="AO23" s="96"/>
      <c r="AP23" s="96"/>
      <c r="AQ23" s="96"/>
      <c r="AR23" s="96"/>
      <c r="AS23" s="101"/>
      <c r="AT23" s="287"/>
    </row>
    <row r="24" spans="1:48" x14ac:dyDescent="0.25">
      <c r="A24" s="210">
        <v>0</v>
      </c>
      <c r="B24" s="241" t="s">
        <v>467</v>
      </c>
      <c r="C24" s="289" t="s">
        <v>468</v>
      </c>
      <c r="D24" s="243">
        <f t="shared" si="13"/>
        <v>7</v>
      </c>
      <c r="E24" s="244">
        <v>414</v>
      </c>
      <c r="F24" s="245">
        <f t="shared" si="0"/>
        <v>2898</v>
      </c>
      <c r="G24" s="246" t="s">
        <v>32</v>
      </c>
      <c r="H24" s="247"/>
      <c r="I24" s="218" t="str">
        <f t="shared" si="1"/>
        <v/>
      </c>
      <c r="J24" s="248">
        <v>7</v>
      </c>
      <c r="K24" s="249">
        <f t="shared" si="14"/>
        <v>2898</v>
      </c>
      <c r="L24" s="266"/>
      <c r="M24" s="249" t="str">
        <f t="shared" si="2"/>
        <v/>
      </c>
      <c r="N24" s="251"/>
      <c r="O24" s="249" t="str">
        <f t="shared" si="15"/>
        <v/>
      </c>
      <c r="P24" s="252"/>
      <c r="Q24" s="249" t="str">
        <f t="shared" si="3"/>
        <v/>
      </c>
      <c r="R24" s="266"/>
      <c r="S24" s="249" t="str">
        <f t="shared" si="4"/>
        <v/>
      </c>
      <c r="T24" s="254"/>
      <c r="U24" s="255" t="str">
        <f t="shared" si="5"/>
        <v/>
      </c>
      <c r="V24" s="228"/>
      <c r="W24" s="256" t="str">
        <f t="shared" si="6"/>
        <v/>
      </c>
      <c r="X24" s="257" t="str">
        <f t="shared" si="7"/>
        <v/>
      </c>
      <c r="Y24" s="258" t="str">
        <f t="shared" si="16"/>
        <v/>
      </c>
      <c r="Z24" s="232" t="str">
        <f t="shared" si="8"/>
        <v/>
      </c>
      <c r="AA24" s="256" t="str">
        <f t="shared" si="9"/>
        <v/>
      </c>
      <c r="AB24" s="257" t="str">
        <f t="shared" si="10"/>
        <v/>
      </c>
      <c r="AC24" s="258" t="str">
        <f t="shared" si="11"/>
        <v/>
      </c>
      <c r="AD24" s="232" t="str">
        <f t="shared" si="12"/>
        <v/>
      </c>
      <c r="AE24" s="256" t="str">
        <f t="shared" si="17"/>
        <v/>
      </c>
      <c r="AF24" s="257" t="str">
        <f t="shared" si="18"/>
        <v/>
      </c>
      <c r="AG24" s="258" t="str">
        <f t="shared" si="19"/>
        <v/>
      </c>
      <c r="AH24" s="232" t="str">
        <f t="shared" si="20"/>
        <v/>
      </c>
      <c r="AI24" s="259">
        <f t="shared" si="21"/>
        <v>2898</v>
      </c>
      <c r="AJ24" s="260" t="str">
        <f t="shared" si="22"/>
        <v/>
      </c>
      <c r="AK24" s="261" t="str">
        <f t="shared" si="23"/>
        <v/>
      </c>
      <c r="AL24" s="429"/>
      <c r="AN24" s="96"/>
      <c r="AO24" s="96"/>
      <c r="AP24" s="96"/>
      <c r="AQ24" s="96"/>
      <c r="AR24" s="96"/>
      <c r="AS24" s="101"/>
      <c r="AT24" s="287"/>
    </row>
    <row r="25" spans="1:48" x14ac:dyDescent="0.25">
      <c r="A25" s="210">
        <v>0</v>
      </c>
      <c r="B25" s="241" t="s">
        <v>469</v>
      </c>
      <c r="C25" s="289" t="s">
        <v>470</v>
      </c>
      <c r="D25" s="243">
        <f t="shared" si="13"/>
        <v>2</v>
      </c>
      <c r="E25" s="290">
        <v>415</v>
      </c>
      <c r="F25" s="245">
        <f t="shared" si="0"/>
        <v>830</v>
      </c>
      <c r="G25" s="246" t="s">
        <v>32</v>
      </c>
      <c r="H25" s="247"/>
      <c r="I25" s="218" t="str">
        <f t="shared" si="1"/>
        <v/>
      </c>
      <c r="J25" s="248"/>
      <c r="K25" s="249" t="str">
        <f t="shared" si="14"/>
        <v/>
      </c>
      <c r="L25" s="266">
        <v>2</v>
      </c>
      <c r="M25" s="249">
        <f t="shared" si="2"/>
        <v>830</v>
      </c>
      <c r="N25" s="251"/>
      <c r="O25" s="249" t="str">
        <f t="shared" si="15"/>
        <v/>
      </c>
      <c r="P25" s="252"/>
      <c r="Q25" s="249" t="str">
        <f t="shared" si="3"/>
        <v/>
      </c>
      <c r="R25" s="266"/>
      <c r="S25" s="249" t="str">
        <f t="shared" si="4"/>
        <v/>
      </c>
      <c r="T25" s="254"/>
      <c r="U25" s="255" t="str">
        <f t="shared" si="5"/>
        <v/>
      </c>
      <c r="V25" s="228"/>
      <c r="W25" s="256" t="str">
        <f t="shared" si="6"/>
        <v/>
      </c>
      <c r="X25" s="257" t="str">
        <f t="shared" si="7"/>
        <v/>
      </c>
      <c r="Y25" s="258" t="str">
        <f t="shared" si="16"/>
        <v/>
      </c>
      <c r="Z25" s="232" t="str">
        <f t="shared" si="8"/>
        <v/>
      </c>
      <c r="AA25" s="256" t="str">
        <f t="shared" si="9"/>
        <v/>
      </c>
      <c r="AB25" s="257" t="str">
        <f t="shared" si="10"/>
        <v/>
      </c>
      <c r="AC25" s="258" t="str">
        <f t="shared" si="11"/>
        <v/>
      </c>
      <c r="AD25" s="232" t="str">
        <f t="shared" si="12"/>
        <v/>
      </c>
      <c r="AE25" s="256" t="str">
        <f t="shared" si="17"/>
        <v/>
      </c>
      <c r="AF25" s="257" t="str">
        <f t="shared" si="18"/>
        <v/>
      </c>
      <c r="AG25" s="258" t="str">
        <f t="shared" si="19"/>
        <v/>
      </c>
      <c r="AH25" s="232" t="str">
        <f t="shared" si="20"/>
        <v/>
      </c>
      <c r="AI25" s="259" t="str">
        <f t="shared" si="21"/>
        <v/>
      </c>
      <c r="AJ25" s="260">
        <f t="shared" si="22"/>
        <v>830</v>
      </c>
      <c r="AK25" s="261" t="str">
        <f t="shared" si="23"/>
        <v/>
      </c>
      <c r="AL25" s="429"/>
      <c r="AN25" s="96"/>
      <c r="AO25" s="96"/>
      <c r="AP25" s="96"/>
      <c r="AQ25" s="96"/>
      <c r="AR25" s="96"/>
      <c r="AS25" s="101"/>
      <c r="AT25" s="287"/>
    </row>
    <row r="26" spans="1:48" x14ac:dyDescent="0.25">
      <c r="A26" s="210">
        <v>0</v>
      </c>
      <c r="B26" s="241" t="s">
        <v>471</v>
      </c>
      <c r="C26" s="289" t="s">
        <v>472</v>
      </c>
      <c r="D26" s="243">
        <f t="shared" si="13"/>
        <v>5</v>
      </c>
      <c r="E26" s="290">
        <v>365</v>
      </c>
      <c r="F26" s="245">
        <f t="shared" si="0"/>
        <v>1825</v>
      </c>
      <c r="G26" s="246" t="s">
        <v>32</v>
      </c>
      <c r="H26" s="247"/>
      <c r="I26" s="218" t="str">
        <f t="shared" si="1"/>
        <v/>
      </c>
      <c r="J26" s="248"/>
      <c r="K26" s="249" t="str">
        <f t="shared" si="14"/>
        <v/>
      </c>
      <c r="L26" s="266">
        <v>1</v>
      </c>
      <c r="M26" s="249">
        <f t="shared" si="2"/>
        <v>365</v>
      </c>
      <c r="N26" s="251"/>
      <c r="O26" s="249" t="str">
        <f t="shared" si="15"/>
        <v/>
      </c>
      <c r="P26" s="252"/>
      <c r="Q26" s="249" t="str">
        <f t="shared" si="3"/>
        <v/>
      </c>
      <c r="R26" s="266">
        <v>3</v>
      </c>
      <c r="S26" s="249">
        <f t="shared" si="4"/>
        <v>1095</v>
      </c>
      <c r="T26" s="254">
        <v>1</v>
      </c>
      <c r="U26" s="255">
        <f t="shared" si="5"/>
        <v>365</v>
      </c>
      <c r="V26" s="228"/>
      <c r="W26" s="256">
        <f t="shared" si="6"/>
        <v>891.91865185378128</v>
      </c>
      <c r="X26" s="257">
        <f t="shared" si="7"/>
        <v>203.08134814621877</v>
      </c>
      <c r="Y26" s="258">
        <f t="shared" si="16"/>
        <v>0</v>
      </c>
      <c r="Z26" s="232" t="str">
        <f t="shared" si="8"/>
        <v/>
      </c>
      <c r="AA26" s="256">
        <f t="shared" si="9"/>
        <v>365</v>
      </c>
      <c r="AB26" s="257" t="str">
        <f t="shared" si="10"/>
        <v/>
      </c>
      <c r="AC26" s="258" t="str">
        <f t="shared" si="11"/>
        <v/>
      </c>
      <c r="AD26" s="232" t="str">
        <f t="shared" si="12"/>
        <v/>
      </c>
      <c r="AE26" s="256" t="str">
        <f t="shared" si="17"/>
        <v/>
      </c>
      <c r="AF26" s="257" t="str">
        <f t="shared" si="18"/>
        <v/>
      </c>
      <c r="AG26" s="258" t="str">
        <f t="shared" si="19"/>
        <v/>
      </c>
      <c r="AH26" s="232" t="str">
        <f t="shared" si="20"/>
        <v/>
      </c>
      <c r="AI26" s="259">
        <f t="shared" si="21"/>
        <v>1256.9186518537813</v>
      </c>
      <c r="AJ26" s="260">
        <f t="shared" si="22"/>
        <v>568.08134814621872</v>
      </c>
      <c r="AK26" s="261" t="str">
        <f t="shared" si="23"/>
        <v/>
      </c>
      <c r="AL26" s="429"/>
      <c r="AN26" s="96"/>
      <c r="AO26" s="96"/>
      <c r="AP26" s="96"/>
      <c r="AQ26" s="96"/>
      <c r="AR26" s="96"/>
      <c r="AS26" s="101"/>
      <c r="AT26" s="287"/>
    </row>
    <row r="27" spans="1:48" x14ac:dyDescent="0.25">
      <c r="A27" s="210">
        <v>0</v>
      </c>
      <c r="B27" s="241" t="s">
        <v>473</v>
      </c>
      <c r="C27" s="289" t="s">
        <v>474</v>
      </c>
      <c r="D27" s="243">
        <f t="shared" si="13"/>
        <v>5</v>
      </c>
      <c r="E27" s="290">
        <v>890</v>
      </c>
      <c r="F27" s="245">
        <f t="shared" si="0"/>
        <v>4450</v>
      </c>
      <c r="G27" s="246" t="s">
        <v>32</v>
      </c>
      <c r="H27" s="247"/>
      <c r="I27" s="218" t="str">
        <f t="shared" si="1"/>
        <v/>
      </c>
      <c r="J27" s="248">
        <v>5</v>
      </c>
      <c r="K27" s="249">
        <f t="shared" si="14"/>
        <v>4450</v>
      </c>
      <c r="L27" s="266"/>
      <c r="M27" s="249" t="str">
        <f t="shared" si="2"/>
        <v/>
      </c>
      <c r="N27" s="251"/>
      <c r="O27" s="249" t="str">
        <f t="shared" si="15"/>
        <v/>
      </c>
      <c r="P27" s="252"/>
      <c r="Q27" s="249" t="str">
        <f t="shared" si="3"/>
        <v/>
      </c>
      <c r="R27" s="266"/>
      <c r="S27" s="249" t="str">
        <f t="shared" si="4"/>
        <v/>
      </c>
      <c r="T27" s="254"/>
      <c r="U27" s="255" t="str">
        <f t="shared" si="5"/>
        <v/>
      </c>
      <c r="V27" s="228"/>
      <c r="W27" s="256" t="str">
        <f t="shared" si="6"/>
        <v/>
      </c>
      <c r="X27" s="257" t="str">
        <f t="shared" si="7"/>
        <v/>
      </c>
      <c r="Y27" s="258" t="str">
        <f t="shared" si="16"/>
        <v/>
      </c>
      <c r="Z27" s="232" t="str">
        <f t="shared" si="8"/>
        <v/>
      </c>
      <c r="AA27" s="256" t="str">
        <f t="shared" si="9"/>
        <v/>
      </c>
      <c r="AB27" s="257" t="str">
        <f t="shared" si="10"/>
        <v/>
      </c>
      <c r="AC27" s="258" t="str">
        <f t="shared" si="11"/>
        <v/>
      </c>
      <c r="AD27" s="232" t="str">
        <f t="shared" si="12"/>
        <v/>
      </c>
      <c r="AE27" s="256" t="str">
        <f t="shared" si="17"/>
        <v/>
      </c>
      <c r="AF27" s="257" t="str">
        <f t="shared" si="18"/>
        <v/>
      </c>
      <c r="AG27" s="258" t="str">
        <f t="shared" si="19"/>
        <v/>
      </c>
      <c r="AH27" s="232" t="str">
        <f t="shared" si="20"/>
        <v/>
      </c>
      <c r="AI27" s="259">
        <f t="shared" si="21"/>
        <v>4450</v>
      </c>
      <c r="AJ27" s="260" t="str">
        <f t="shared" si="22"/>
        <v/>
      </c>
      <c r="AK27" s="261" t="str">
        <f t="shared" si="23"/>
        <v/>
      </c>
      <c r="AL27" s="429"/>
      <c r="AN27" s="96"/>
      <c r="AO27" s="96"/>
      <c r="AP27" s="96"/>
      <c r="AQ27" s="96"/>
      <c r="AR27" s="96"/>
      <c r="AS27" s="101"/>
      <c r="AT27" s="287"/>
    </row>
    <row r="28" spans="1:48" x14ac:dyDescent="0.25">
      <c r="A28" s="210" t="e">
        <v>#VALUE!</v>
      </c>
      <c r="B28" s="241" t="s">
        <v>475</v>
      </c>
      <c r="C28" s="289" t="s">
        <v>476</v>
      </c>
      <c r="D28" s="243">
        <f t="shared" si="13"/>
        <v>0</v>
      </c>
      <c r="E28" s="290">
        <v>280</v>
      </c>
      <c r="F28" s="245">
        <f t="shared" si="0"/>
        <v>0</v>
      </c>
      <c r="G28" s="246" t="s">
        <v>32</v>
      </c>
      <c r="H28" s="247"/>
      <c r="I28" s="218" t="str">
        <f t="shared" si="1"/>
        <v/>
      </c>
      <c r="J28" s="248"/>
      <c r="K28" s="249" t="str">
        <f t="shared" si="14"/>
        <v/>
      </c>
      <c r="L28" s="266"/>
      <c r="M28" s="249" t="str">
        <f t="shared" si="2"/>
        <v/>
      </c>
      <c r="N28" s="251"/>
      <c r="O28" s="249" t="str">
        <f t="shared" si="15"/>
        <v/>
      </c>
      <c r="P28" s="252"/>
      <c r="Q28" s="249" t="str">
        <f t="shared" si="3"/>
        <v/>
      </c>
      <c r="R28" s="266"/>
      <c r="S28" s="249" t="str">
        <f t="shared" si="4"/>
        <v/>
      </c>
      <c r="T28" s="254"/>
      <c r="U28" s="255" t="str">
        <f t="shared" si="5"/>
        <v/>
      </c>
      <c r="V28" s="228"/>
      <c r="W28" s="256" t="str">
        <f t="shared" si="6"/>
        <v/>
      </c>
      <c r="X28" s="257" t="str">
        <f t="shared" si="7"/>
        <v/>
      </c>
      <c r="Y28" s="258" t="str">
        <f t="shared" si="16"/>
        <v/>
      </c>
      <c r="Z28" s="232" t="str">
        <f t="shared" si="8"/>
        <v/>
      </c>
      <c r="AA28" s="256" t="str">
        <f t="shared" si="9"/>
        <v/>
      </c>
      <c r="AB28" s="257" t="str">
        <f t="shared" si="10"/>
        <v/>
      </c>
      <c r="AC28" s="258" t="str">
        <f t="shared" si="11"/>
        <v/>
      </c>
      <c r="AD28" s="232" t="str">
        <f t="shared" si="12"/>
        <v/>
      </c>
      <c r="AE28" s="256" t="str">
        <f t="shared" si="17"/>
        <v/>
      </c>
      <c r="AF28" s="257" t="str">
        <f t="shared" si="18"/>
        <v/>
      </c>
      <c r="AG28" s="258" t="str">
        <f t="shared" si="19"/>
        <v/>
      </c>
      <c r="AH28" s="232" t="str">
        <f t="shared" si="20"/>
        <v/>
      </c>
      <c r="AI28" s="259" t="str">
        <f t="shared" si="21"/>
        <v/>
      </c>
      <c r="AJ28" s="260" t="str">
        <f t="shared" si="22"/>
        <v/>
      </c>
      <c r="AK28" s="261" t="str">
        <f t="shared" si="23"/>
        <v/>
      </c>
      <c r="AL28" s="429"/>
      <c r="AN28" s="96"/>
      <c r="AO28" s="96"/>
      <c r="AP28" s="96"/>
      <c r="AQ28" s="96"/>
      <c r="AR28" s="96"/>
      <c r="AS28" s="101"/>
      <c r="AT28" s="287"/>
    </row>
    <row r="29" spans="1:48" x14ac:dyDescent="0.25">
      <c r="A29" s="210">
        <v>0</v>
      </c>
      <c r="B29" s="271" t="s">
        <v>477</v>
      </c>
      <c r="C29" s="291" t="s">
        <v>478</v>
      </c>
      <c r="D29" s="243">
        <f t="shared" si="13"/>
        <v>1</v>
      </c>
      <c r="E29" s="273">
        <v>1021</v>
      </c>
      <c r="F29" s="245">
        <f t="shared" si="0"/>
        <v>1021</v>
      </c>
      <c r="G29" s="274" t="s">
        <v>32</v>
      </c>
      <c r="H29" s="275"/>
      <c r="I29" s="276" t="str">
        <f t="shared" si="1"/>
        <v/>
      </c>
      <c r="J29" s="277"/>
      <c r="K29" s="249" t="str">
        <f t="shared" si="14"/>
        <v/>
      </c>
      <c r="L29" s="278"/>
      <c r="M29" s="249" t="str">
        <f t="shared" si="2"/>
        <v/>
      </c>
      <c r="N29" s="279"/>
      <c r="O29" s="249" t="str">
        <f t="shared" si="15"/>
        <v/>
      </c>
      <c r="P29" s="280"/>
      <c r="Q29" s="249" t="str">
        <f t="shared" si="3"/>
        <v/>
      </c>
      <c r="R29" s="278">
        <v>1</v>
      </c>
      <c r="S29" s="249">
        <f t="shared" si="4"/>
        <v>1021</v>
      </c>
      <c r="T29" s="281"/>
      <c r="U29" s="255" t="str">
        <f t="shared" si="5"/>
        <v/>
      </c>
      <c r="V29" s="282"/>
      <c r="W29" s="256">
        <f t="shared" si="6"/>
        <v>831.64287081526084</v>
      </c>
      <c r="X29" s="257">
        <f t="shared" si="7"/>
        <v>189.35712918473914</v>
      </c>
      <c r="Y29" s="258">
        <f t="shared" si="16"/>
        <v>0</v>
      </c>
      <c r="Z29" s="283" t="str">
        <f t="shared" si="8"/>
        <v/>
      </c>
      <c r="AA29" s="256" t="str">
        <f t="shared" si="9"/>
        <v/>
      </c>
      <c r="AB29" s="257" t="str">
        <f t="shared" si="10"/>
        <v/>
      </c>
      <c r="AC29" s="258" t="str">
        <f t="shared" si="11"/>
        <v/>
      </c>
      <c r="AD29" s="283" t="str">
        <f t="shared" si="12"/>
        <v/>
      </c>
      <c r="AE29" s="256" t="str">
        <f t="shared" si="17"/>
        <v/>
      </c>
      <c r="AF29" s="257" t="str">
        <f t="shared" si="18"/>
        <v/>
      </c>
      <c r="AG29" s="258" t="str">
        <f t="shared" si="19"/>
        <v/>
      </c>
      <c r="AH29" s="283" t="str">
        <f t="shared" si="20"/>
        <v/>
      </c>
      <c r="AI29" s="259">
        <f t="shared" si="21"/>
        <v>831.64287081526084</v>
      </c>
      <c r="AJ29" s="260">
        <f t="shared" si="22"/>
        <v>189.35712918473914</v>
      </c>
      <c r="AK29" s="261" t="str">
        <f t="shared" si="23"/>
        <v/>
      </c>
      <c r="AL29" s="429"/>
    </row>
    <row r="30" spans="1:48" x14ac:dyDescent="0.25">
      <c r="A30" s="210">
        <v>0</v>
      </c>
      <c r="B30" s="271" t="s">
        <v>479</v>
      </c>
      <c r="C30" s="291" t="s">
        <v>480</v>
      </c>
      <c r="D30" s="243">
        <f t="shared" si="13"/>
        <v>1</v>
      </c>
      <c r="E30" s="273">
        <v>6870</v>
      </c>
      <c r="F30" s="245">
        <f t="shared" si="0"/>
        <v>6870</v>
      </c>
      <c r="G30" s="274" t="s">
        <v>32</v>
      </c>
      <c r="H30" s="275"/>
      <c r="I30" s="276" t="str">
        <f t="shared" si="1"/>
        <v/>
      </c>
      <c r="J30" s="277">
        <v>1</v>
      </c>
      <c r="K30" s="249">
        <f t="shared" si="14"/>
        <v>6870</v>
      </c>
      <c r="L30" s="278"/>
      <c r="M30" s="249" t="str">
        <f t="shared" si="2"/>
        <v/>
      </c>
      <c r="N30" s="279"/>
      <c r="O30" s="249" t="str">
        <f t="shared" si="15"/>
        <v/>
      </c>
      <c r="P30" s="280"/>
      <c r="Q30" s="249" t="str">
        <f t="shared" si="3"/>
        <v/>
      </c>
      <c r="R30" s="278"/>
      <c r="S30" s="249" t="str">
        <f t="shared" si="4"/>
        <v/>
      </c>
      <c r="T30" s="281"/>
      <c r="U30" s="255" t="str">
        <f t="shared" si="5"/>
        <v/>
      </c>
      <c r="V30" s="282"/>
      <c r="W30" s="256" t="str">
        <f t="shared" si="6"/>
        <v/>
      </c>
      <c r="X30" s="257" t="str">
        <f t="shared" si="7"/>
        <v/>
      </c>
      <c r="Y30" s="258" t="str">
        <f t="shared" si="16"/>
        <v/>
      </c>
      <c r="Z30" s="283" t="str">
        <f t="shared" si="8"/>
        <v/>
      </c>
      <c r="AA30" s="256" t="str">
        <f t="shared" si="9"/>
        <v/>
      </c>
      <c r="AB30" s="257" t="str">
        <f t="shared" si="10"/>
        <v/>
      </c>
      <c r="AC30" s="258" t="str">
        <f t="shared" si="11"/>
        <v/>
      </c>
      <c r="AD30" s="283" t="str">
        <f t="shared" si="12"/>
        <v/>
      </c>
      <c r="AE30" s="256" t="str">
        <f t="shared" si="17"/>
        <v/>
      </c>
      <c r="AF30" s="257" t="str">
        <f t="shared" si="18"/>
        <v/>
      </c>
      <c r="AG30" s="258" t="str">
        <f t="shared" si="19"/>
        <v/>
      </c>
      <c r="AH30" s="283" t="str">
        <f t="shared" si="20"/>
        <v/>
      </c>
      <c r="AI30" s="259">
        <f t="shared" si="21"/>
        <v>6870</v>
      </c>
      <c r="AJ30" s="260" t="str">
        <f t="shared" si="22"/>
        <v/>
      </c>
      <c r="AK30" s="261" t="str">
        <f t="shared" si="23"/>
        <v/>
      </c>
      <c r="AL30" s="429"/>
      <c r="AO30" s="78"/>
      <c r="AP30" s="78"/>
      <c r="AQ30" s="78"/>
      <c r="AR30" s="78"/>
      <c r="AS30" s="78"/>
      <c r="AT30" s="270"/>
    </row>
    <row r="31" spans="1:48" x14ac:dyDescent="0.25">
      <c r="A31" s="210">
        <v>0</v>
      </c>
      <c r="B31" s="241" t="s">
        <v>481</v>
      </c>
      <c r="C31" s="289" t="s">
        <v>482</v>
      </c>
      <c r="D31" s="243">
        <f t="shared" si="13"/>
        <v>1</v>
      </c>
      <c r="E31" s="290">
        <v>5280</v>
      </c>
      <c r="F31" s="245">
        <f t="shared" si="0"/>
        <v>5280</v>
      </c>
      <c r="G31" s="246" t="s">
        <v>32</v>
      </c>
      <c r="H31" s="247"/>
      <c r="I31" s="218" t="str">
        <f t="shared" si="1"/>
        <v/>
      </c>
      <c r="J31" s="248"/>
      <c r="K31" s="249" t="str">
        <f t="shared" si="14"/>
        <v/>
      </c>
      <c r="L31" s="253">
        <v>1</v>
      </c>
      <c r="M31" s="249">
        <f t="shared" si="2"/>
        <v>5280</v>
      </c>
      <c r="N31" s="251"/>
      <c r="O31" s="249" t="str">
        <f t="shared" si="15"/>
        <v/>
      </c>
      <c r="P31" s="252"/>
      <c r="Q31" s="249" t="str">
        <f t="shared" si="3"/>
        <v/>
      </c>
      <c r="R31" s="253"/>
      <c r="S31" s="249" t="str">
        <f t="shared" si="4"/>
        <v/>
      </c>
      <c r="T31" s="254"/>
      <c r="U31" s="255" t="str">
        <f t="shared" si="5"/>
        <v/>
      </c>
      <c r="V31" s="228"/>
      <c r="W31" s="256" t="str">
        <f t="shared" si="6"/>
        <v/>
      </c>
      <c r="X31" s="257" t="str">
        <f t="shared" si="7"/>
        <v/>
      </c>
      <c r="Y31" s="258" t="str">
        <f t="shared" si="16"/>
        <v/>
      </c>
      <c r="Z31" s="232" t="str">
        <f t="shared" si="8"/>
        <v/>
      </c>
      <c r="AA31" s="256" t="str">
        <f t="shared" si="9"/>
        <v/>
      </c>
      <c r="AB31" s="257" t="str">
        <f t="shared" si="10"/>
        <v/>
      </c>
      <c r="AC31" s="258" t="str">
        <f t="shared" si="11"/>
        <v/>
      </c>
      <c r="AD31" s="232" t="str">
        <f t="shared" si="12"/>
        <v/>
      </c>
      <c r="AE31" s="256" t="str">
        <f t="shared" si="17"/>
        <v/>
      </c>
      <c r="AF31" s="257" t="str">
        <f t="shared" si="18"/>
        <v/>
      </c>
      <c r="AG31" s="258" t="str">
        <f t="shared" si="19"/>
        <v/>
      </c>
      <c r="AH31" s="232" t="str">
        <f t="shared" si="20"/>
        <v/>
      </c>
      <c r="AI31" s="259" t="str">
        <f t="shared" si="21"/>
        <v/>
      </c>
      <c r="AJ31" s="260">
        <f t="shared" si="22"/>
        <v>5280</v>
      </c>
      <c r="AK31" s="261" t="str">
        <f t="shared" si="23"/>
        <v/>
      </c>
      <c r="AL31" s="429"/>
      <c r="AO31" s="78"/>
      <c r="AP31" s="78"/>
      <c r="AQ31" s="78"/>
      <c r="AR31" s="78"/>
      <c r="AS31" s="78"/>
      <c r="AT31" s="270"/>
    </row>
    <row r="32" spans="1:48" x14ac:dyDescent="0.25">
      <c r="A32" s="210">
        <v>0</v>
      </c>
      <c r="B32" s="271" t="s">
        <v>483</v>
      </c>
      <c r="C32" s="272" t="s">
        <v>484</v>
      </c>
      <c r="D32" s="243">
        <f t="shared" si="13"/>
        <v>1</v>
      </c>
      <c r="E32" s="273">
        <v>1650</v>
      </c>
      <c r="F32" s="245">
        <f t="shared" si="0"/>
        <v>1650</v>
      </c>
      <c r="G32" s="274" t="s">
        <v>32</v>
      </c>
      <c r="H32" s="275"/>
      <c r="I32" s="276" t="str">
        <f t="shared" si="1"/>
        <v/>
      </c>
      <c r="J32" s="277"/>
      <c r="K32" s="249" t="str">
        <f t="shared" si="14"/>
        <v/>
      </c>
      <c r="L32" s="278"/>
      <c r="M32" s="249" t="str">
        <f t="shared" si="2"/>
        <v/>
      </c>
      <c r="N32" s="279"/>
      <c r="O32" s="249" t="str">
        <f t="shared" si="15"/>
        <v/>
      </c>
      <c r="P32" s="280"/>
      <c r="Q32" s="249" t="str">
        <f t="shared" si="3"/>
        <v/>
      </c>
      <c r="R32" s="278">
        <v>1</v>
      </c>
      <c r="S32" s="249">
        <f t="shared" si="4"/>
        <v>1650</v>
      </c>
      <c r="T32" s="281"/>
      <c r="U32" s="255" t="str">
        <f t="shared" si="5"/>
        <v/>
      </c>
      <c r="V32" s="282"/>
      <c r="W32" s="256">
        <f t="shared" si="6"/>
        <v>1343.9870096426841</v>
      </c>
      <c r="X32" s="257">
        <f t="shared" si="7"/>
        <v>306.01299035731591</v>
      </c>
      <c r="Y32" s="258">
        <f t="shared" si="16"/>
        <v>0</v>
      </c>
      <c r="Z32" s="283" t="str">
        <f t="shared" si="8"/>
        <v/>
      </c>
      <c r="AA32" s="256" t="str">
        <f t="shared" si="9"/>
        <v/>
      </c>
      <c r="AB32" s="257" t="str">
        <f t="shared" si="10"/>
        <v/>
      </c>
      <c r="AC32" s="258" t="str">
        <f t="shared" si="11"/>
        <v/>
      </c>
      <c r="AD32" s="283" t="str">
        <f t="shared" si="12"/>
        <v/>
      </c>
      <c r="AE32" s="256" t="str">
        <f t="shared" si="17"/>
        <v/>
      </c>
      <c r="AF32" s="257" t="str">
        <f t="shared" si="18"/>
        <v/>
      </c>
      <c r="AG32" s="258" t="str">
        <f t="shared" si="19"/>
        <v/>
      </c>
      <c r="AH32" s="283" t="str">
        <f t="shared" si="20"/>
        <v/>
      </c>
      <c r="AI32" s="259">
        <f t="shared" si="21"/>
        <v>1343.9870096426841</v>
      </c>
      <c r="AJ32" s="260">
        <f t="shared" si="22"/>
        <v>306.01299035731591</v>
      </c>
      <c r="AK32" s="261" t="str">
        <f t="shared" si="23"/>
        <v/>
      </c>
      <c r="AL32" s="429"/>
      <c r="AO32" s="78"/>
      <c r="AP32" s="78"/>
      <c r="AQ32" s="78"/>
      <c r="AR32" s="78"/>
      <c r="AS32" s="78"/>
      <c r="AT32" s="270"/>
      <c r="AU32" s="292"/>
    </row>
    <row r="33" spans="1:47" x14ac:dyDescent="0.25">
      <c r="A33" s="210">
        <v>0</v>
      </c>
      <c r="B33" s="241" t="s">
        <v>485</v>
      </c>
      <c r="C33" s="242" t="s">
        <v>486</v>
      </c>
      <c r="D33" s="243">
        <f t="shared" si="13"/>
        <v>1</v>
      </c>
      <c r="E33" s="244">
        <v>621</v>
      </c>
      <c r="F33" s="245">
        <f t="shared" si="0"/>
        <v>621</v>
      </c>
      <c r="G33" s="246" t="s">
        <v>32</v>
      </c>
      <c r="H33" s="247"/>
      <c r="I33" s="218" t="str">
        <f t="shared" si="1"/>
        <v/>
      </c>
      <c r="J33" s="248"/>
      <c r="K33" s="249" t="str">
        <f t="shared" si="14"/>
        <v/>
      </c>
      <c r="L33" s="266"/>
      <c r="M33" s="249" t="str">
        <f t="shared" si="2"/>
        <v/>
      </c>
      <c r="N33" s="251"/>
      <c r="O33" s="249" t="str">
        <f t="shared" si="15"/>
        <v/>
      </c>
      <c r="P33" s="252"/>
      <c r="Q33" s="249" t="str">
        <f t="shared" si="3"/>
        <v/>
      </c>
      <c r="R33" s="266">
        <v>1</v>
      </c>
      <c r="S33" s="249">
        <f t="shared" si="4"/>
        <v>621</v>
      </c>
      <c r="T33" s="254"/>
      <c r="U33" s="255" t="str">
        <f t="shared" si="5"/>
        <v/>
      </c>
      <c r="V33" s="228"/>
      <c r="W33" s="256">
        <f t="shared" si="6"/>
        <v>505.82783817461018</v>
      </c>
      <c r="X33" s="257">
        <f t="shared" si="7"/>
        <v>115.17216182538982</v>
      </c>
      <c r="Y33" s="258">
        <f t="shared" si="16"/>
        <v>0</v>
      </c>
      <c r="Z33" s="232" t="str">
        <f t="shared" si="8"/>
        <v/>
      </c>
      <c r="AA33" s="256" t="str">
        <f t="shared" si="9"/>
        <v/>
      </c>
      <c r="AB33" s="257" t="str">
        <f t="shared" si="10"/>
        <v/>
      </c>
      <c r="AC33" s="258" t="str">
        <f t="shared" si="11"/>
        <v/>
      </c>
      <c r="AD33" s="232" t="str">
        <f t="shared" si="12"/>
        <v/>
      </c>
      <c r="AE33" s="256" t="str">
        <f t="shared" si="17"/>
        <v/>
      </c>
      <c r="AF33" s="257" t="str">
        <f t="shared" si="18"/>
        <v/>
      </c>
      <c r="AG33" s="258" t="str">
        <f t="shared" si="19"/>
        <v/>
      </c>
      <c r="AH33" s="232" t="str">
        <f t="shared" si="20"/>
        <v/>
      </c>
      <c r="AI33" s="259">
        <f t="shared" si="21"/>
        <v>505.82783817461018</v>
      </c>
      <c r="AJ33" s="260">
        <f t="shared" si="22"/>
        <v>115.17216182538982</v>
      </c>
      <c r="AK33" s="261" t="str">
        <f t="shared" si="23"/>
        <v/>
      </c>
      <c r="AL33" s="429"/>
      <c r="AN33" s="86"/>
      <c r="AO33" s="94"/>
      <c r="AP33" s="94"/>
      <c r="AQ33" s="94"/>
      <c r="AR33" s="94"/>
      <c r="AS33" s="94"/>
      <c r="AT33" s="284"/>
      <c r="AU33" s="292"/>
    </row>
    <row r="34" spans="1:47" x14ac:dyDescent="0.25">
      <c r="A34" s="210">
        <v>0</v>
      </c>
      <c r="B34" s="241" t="s">
        <v>487</v>
      </c>
      <c r="C34" s="242" t="s">
        <v>488</v>
      </c>
      <c r="D34" s="243">
        <f t="shared" si="13"/>
        <v>4</v>
      </c>
      <c r="E34" s="244">
        <v>310.5</v>
      </c>
      <c r="F34" s="245">
        <f t="shared" si="0"/>
        <v>1242</v>
      </c>
      <c r="G34" s="246" t="s">
        <v>32</v>
      </c>
      <c r="H34" s="247"/>
      <c r="I34" s="218" t="str">
        <f t="shared" si="1"/>
        <v/>
      </c>
      <c r="J34" s="248">
        <v>1</v>
      </c>
      <c r="K34" s="249">
        <f t="shared" si="14"/>
        <v>310.5</v>
      </c>
      <c r="L34" s="266"/>
      <c r="M34" s="249" t="str">
        <f t="shared" si="2"/>
        <v/>
      </c>
      <c r="N34" s="251"/>
      <c r="O34" s="249" t="str">
        <f t="shared" si="15"/>
        <v/>
      </c>
      <c r="P34" s="252"/>
      <c r="Q34" s="249" t="str">
        <f t="shared" si="3"/>
        <v/>
      </c>
      <c r="R34" s="266">
        <v>3</v>
      </c>
      <c r="S34" s="249">
        <f t="shared" si="4"/>
        <v>931.5</v>
      </c>
      <c r="T34" s="254"/>
      <c r="U34" s="255" t="str">
        <f t="shared" si="5"/>
        <v/>
      </c>
      <c r="V34" s="228"/>
      <c r="W34" s="256">
        <f t="shared" si="6"/>
        <v>758.74175726191527</v>
      </c>
      <c r="X34" s="257">
        <f t="shared" si="7"/>
        <v>172.75824273808473</v>
      </c>
      <c r="Y34" s="258">
        <f t="shared" si="16"/>
        <v>0</v>
      </c>
      <c r="Z34" s="232" t="str">
        <f t="shared" si="8"/>
        <v/>
      </c>
      <c r="AA34" s="256" t="str">
        <f t="shared" si="9"/>
        <v/>
      </c>
      <c r="AB34" s="257" t="str">
        <f t="shared" si="10"/>
        <v/>
      </c>
      <c r="AC34" s="258" t="str">
        <f t="shared" si="11"/>
        <v/>
      </c>
      <c r="AD34" s="232" t="str">
        <f t="shared" si="12"/>
        <v/>
      </c>
      <c r="AE34" s="256" t="str">
        <f t="shared" si="17"/>
        <v/>
      </c>
      <c r="AF34" s="257" t="str">
        <f t="shared" si="18"/>
        <v/>
      </c>
      <c r="AG34" s="258" t="str">
        <f t="shared" si="19"/>
        <v/>
      </c>
      <c r="AH34" s="232" t="str">
        <f t="shared" si="20"/>
        <v/>
      </c>
      <c r="AI34" s="259">
        <f t="shared" si="21"/>
        <v>1069.2417572619152</v>
      </c>
      <c r="AJ34" s="260">
        <f t="shared" si="22"/>
        <v>172.75824273808473</v>
      </c>
      <c r="AK34" s="261" t="str">
        <f t="shared" si="23"/>
        <v/>
      </c>
      <c r="AL34" s="429"/>
      <c r="AN34" s="86"/>
      <c r="AO34" s="94"/>
      <c r="AP34" s="94"/>
      <c r="AQ34" s="94"/>
      <c r="AR34" s="94"/>
      <c r="AS34" s="94"/>
      <c r="AT34" s="284"/>
      <c r="AU34" s="292"/>
    </row>
    <row r="35" spans="1:47" x14ac:dyDescent="0.25">
      <c r="A35" s="210">
        <v>0</v>
      </c>
      <c r="B35" s="241" t="s">
        <v>489</v>
      </c>
      <c r="C35" s="242" t="s">
        <v>490</v>
      </c>
      <c r="D35" s="243">
        <f t="shared" si="13"/>
        <v>1</v>
      </c>
      <c r="E35" s="244">
        <v>552</v>
      </c>
      <c r="F35" s="245">
        <f t="shared" si="0"/>
        <v>552</v>
      </c>
      <c r="G35" s="246" t="s">
        <v>32</v>
      </c>
      <c r="H35" s="247"/>
      <c r="I35" s="218" t="str">
        <f t="shared" si="1"/>
        <v/>
      </c>
      <c r="J35" s="248"/>
      <c r="K35" s="249" t="str">
        <f t="shared" si="14"/>
        <v/>
      </c>
      <c r="L35" s="266"/>
      <c r="M35" s="249" t="str">
        <f t="shared" si="2"/>
        <v/>
      </c>
      <c r="N35" s="251"/>
      <c r="O35" s="249" t="str">
        <f t="shared" si="15"/>
        <v/>
      </c>
      <c r="P35" s="252"/>
      <c r="Q35" s="249" t="str">
        <f t="shared" si="3"/>
        <v/>
      </c>
      <c r="R35" s="266">
        <v>1</v>
      </c>
      <c r="S35" s="249">
        <f t="shared" si="4"/>
        <v>552</v>
      </c>
      <c r="T35" s="254"/>
      <c r="U35" s="255" t="str">
        <f t="shared" si="5"/>
        <v/>
      </c>
      <c r="V35" s="228"/>
      <c r="W35" s="256">
        <f t="shared" si="6"/>
        <v>449.62474504409795</v>
      </c>
      <c r="X35" s="257">
        <f t="shared" si="7"/>
        <v>102.37525495590207</v>
      </c>
      <c r="Y35" s="258">
        <f t="shared" si="16"/>
        <v>0</v>
      </c>
      <c r="Z35" s="232" t="str">
        <f t="shared" si="8"/>
        <v/>
      </c>
      <c r="AA35" s="256" t="str">
        <f t="shared" si="9"/>
        <v/>
      </c>
      <c r="AB35" s="257" t="str">
        <f t="shared" si="10"/>
        <v/>
      </c>
      <c r="AC35" s="258" t="str">
        <f t="shared" si="11"/>
        <v/>
      </c>
      <c r="AD35" s="232" t="str">
        <f t="shared" si="12"/>
        <v/>
      </c>
      <c r="AE35" s="256" t="str">
        <f t="shared" si="17"/>
        <v/>
      </c>
      <c r="AF35" s="257" t="str">
        <f t="shared" si="18"/>
        <v/>
      </c>
      <c r="AG35" s="258" t="str">
        <f t="shared" si="19"/>
        <v/>
      </c>
      <c r="AH35" s="232" t="str">
        <f t="shared" si="20"/>
        <v/>
      </c>
      <c r="AI35" s="259">
        <f t="shared" si="21"/>
        <v>449.62474504409795</v>
      </c>
      <c r="AJ35" s="260">
        <f t="shared" si="22"/>
        <v>102.37525495590207</v>
      </c>
      <c r="AK35" s="261" t="str">
        <f t="shared" si="23"/>
        <v/>
      </c>
      <c r="AL35" s="429"/>
      <c r="AN35" s="86"/>
      <c r="AO35" s="94"/>
      <c r="AP35" s="94"/>
      <c r="AQ35" s="94"/>
      <c r="AR35" s="94"/>
      <c r="AS35" s="94"/>
      <c r="AT35" s="284"/>
      <c r="AU35" s="292"/>
    </row>
    <row r="36" spans="1:47" x14ac:dyDescent="0.25">
      <c r="A36" s="210">
        <v>0</v>
      </c>
      <c r="B36" s="241" t="s">
        <v>491</v>
      </c>
      <c r="C36" s="242" t="s">
        <v>492</v>
      </c>
      <c r="D36" s="243">
        <f t="shared" si="13"/>
        <v>14</v>
      </c>
      <c r="E36" s="290">
        <v>240</v>
      </c>
      <c r="F36" s="245">
        <f t="shared" si="0"/>
        <v>3360</v>
      </c>
      <c r="G36" s="246" t="s">
        <v>32</v>
      </c>
      <c r="H36" s="247"/>
      <c r="I36" s="218" t="str">
        <f t="shared" si="1"/>
        <v/>
      </c>
      <c r="J36" s="248">
        <v>7</v>
      </c>
      <c r="K36" s="249">
        <f t="shared" si="14"/>
        <v>1680</v>
      </c>
      <c r="L36" s="266">
        <v>6</v>
      </c>
      <c r="M36" s="249">
        <f t="shared" si="2"/>
        <v>1440</v>
      </c>
      <c r="N36" s="251"/>
      <c r="O36" s="249" t="str">
        <f t="shared" si="15"/>
        <v/>
      </c>
      <c r="P36" s="252"/>
      <c r="Q36" s="249" t="str">
        <f t="shared" si="3"/>
        <v/>
      </c>
      <c r="R36" s="266">
        <v>1</v>
      </c>
      <c r="S36" s="249">
        <f t="shared" si="4"/>
        <v>240</v>
      </c>
      <c r="T36" s="254"/>
      <c r="U36" s="255" t="str">
        <f t="shared" si="5"/>
        <v/>
      </c>
      <c r="V36" s="228"/>
      <c r="W36" s="256">
        <f t="shared" si="6"/>
        <v>195.48901958439041</v>
      </c>
      <c r="X36" s="257">
        <f t="shared" si="7"/>
        <v>44.510980415609595</v>
      </c>
      <c r="Y36" s="258">
        <f t="shared" si="16"/>
        <v>0</v>
      </c>
      <c r="Z36" s="232" t="str">
        <f t="shared" si="8"/>
        <v/>
      </c>
      <c r="AA36" s="256" t="str">
        <f t="shared" si="9"/>
        <v/>
      </c>
      <c r="AB36" s="257" t="str">
        <f t="shared" si="10"/>
        <v/>
      </c>
      <c r="AC36" s="258" t="str">
        <f t="shared" si="11"/>
        <v/>
      </c>
      <c r="AD36" s="232" t="str">
        <f t="shared" si="12"/>
        <v/>
      </c>
      <c r="AE36" s="256" t="str">
        <f t="shared" si="17"/>
        <v/>
      </c>
      <c r="AF36" s="257" t="str">
        <f t="shared" si="18"/>
        <v/>
      </c>
      <c r="AG36" s="258" t="str">
        <f t="shared" si="19"/>
        <v/>
      </c>
      <c r="AH36" s="232" t="str">
        <f t="shared" si="20"/>
        <v/>
      </c>
      <c r="AI36" s="259">
        <f t="shared" si="21"/>
        <v>1875.4890195843905</v>
      </c>
      <c r="AJ36" s="260">
        <f t="shared" si="22"/>
        <v>1484.5109804156095</v>
      </c>
      <c r="AK36" s="261" t="str">
        <f t="shared" si="23"/>
        <v/>
      </c>
      <c r="AL36" s="429"/>
      <c r="AN36" s="86"/>
      <c r="AO36" s="94"/>
      <c r="AP36" s="94"/>
      <c r="AQ36" s="94"/>
      <c r="AR36" s="94"/>
      <c r="AS36" s="94"/>
      <c r="AT36" s="284"/>
      <c r="AU36" s="292"/>
    </row>
    <row r="37" spans="1:47" x14ac:dyDescent="0.25">
      <c r="A37" s="210">
        <v>0</v>
      </c>
      <c r="B37" s="241" t="s">
        <v>493</v>
      </c>
      <c r="C37" s="242" t="s">
        <v>492</v>
      </c>
      <c r="D37" s="243">
        <f t="shared" si="13"/>
        <v>2</v>
      </c>
      <c r="E37" s="290">
        <v>235</v>
      </c>
      <c r="F37" s="245">
        <f t="shared" si="0"/>
        <v>470</v>
      </c>
      <c r="G37" s="246" t="s">
        <v>32</v>
      </c>
      <c r="H37" s="247"/>
      <c r="I37" s="218" t="str">
        <f t="shared" si="1"/>
        <v/>
      </c>
      <c r="J37" s="248"/>
      <c r="K37" s="249" t="str">
        <f t="shared" si="14"/>
        <v/>
      </c>
      <c r="L37" s="266"/>
      <c r="M37" s="249" t="str">
        <f t="shared" si="2"/>
        <v/>
      </c>
      <c r="N37" s="251"/>
      <c r="O37" s="249" t="str">
        <f t="shared" si="15"/>
        <v/>
      </c>
      <c r="P37" s="252"/>
      <c r="Q37" s="249" t="str">
        <f t="shared" si="3"/>
        <v/>
      </c>
      <c r="R37" s="266"/>
      <c r="S37" s="249" t="str">
        <f t="shared" si="4"/>
        <v/>
      </c>
      <c r="T37" s="254">
        <v>2</v>
      </c>
      <c r="U37" s="255">
        <f t="shared" si="5"/>
        <v>470</v>
      </c>
      <c r="V37" s="228"/>
      <c r="W37" s="256" t="str">
        <f t="shared" si="6"/>
        <v/>
      </c>
      <c r="X37" s="257" t="str">
        <f t="shared" si="7"/>
        <v/>
      </c>
      <c r="Y37" s="258" t="str">
        <f t="shared" si="16"/>
        <v/>
      </c>
      <c r="Z37" s="232" t="str">
        <f t="shared" si="8"/>
        <v/>
      </c>
      <c r="AA37" s="256">
        <f t="shared" si="9"/>
        <v>470</v>
      </c>
      <c r="AB37" s="257" t="str">
        <f t="shared" si="10"/>
        <v/>
      </c>
      <c r="AC37" s="258" t="str">
        <f t="shared" si="11"/>
        <v/>
      </c>
      <c r="AD37" s="232" t="str">
        <f t="shared" si="12"/>
        <v/>
      </c>
      <c r="AE37" s="256" t="str">
        <f t="shared" si="17"/>
        <v/>
      </c>
      <c r="AF37" s="257" t="str">
        <f t="shared" si="18"/>
        <v/>
      </c>
      <c r="AG37" s="258" t="str">
        <f t="shared" si="19"/>
        <v/>
      </c>
      <c r="AH37" s="232" t="str">
        <f t="shared" si="20"/>
        <v/>
      </c>
      <c r="AI37" s="259">
        <f t="shared" si="21"/>
        <v>470</v>
      </c>
      <c r="AJ37" s="260" t="str">
        <f t="shared" si="22"/>
        <v/>
      </c>
      <c r="AK37" s="261" t="str">
        <f t="shared" si="23"/>
        <v/>
      </c>
      <c r="AL37" s="429"/>
      <c r="AN37" s="86"/>
      <c r="AO37" s="94"/>
      <c r="AP37" s="94"/>
      <c r="AQ37" s="94"/>
      <c r="AR37" s="94"/>
      <c r="AS37" s="94"/>
      <c r="AT37" s="284"/>
    </row>
    <row r="38" spans="1:47" x14ac:dyDescent="0.25">
      <c r="A38" s="210">
        <v>0</v>
      </c>
      <c r="B38" s="241" t="s">
        <v>494</v>
      </c>
      <c r="C38" s="242" t="s">
        <v>492</v>
      </c>
      <c r="D38" s="243">
        <f t="shared" si="13"/>
        <v>5</v>
      </c>
      <c r="E38" s="290">
        <v>260</v>
      </c>
      <c r="F38" s="245">
        <f t="shared" si="0"/>
        <v>1300</v>
      </c>
      <c r="G38" s="246" t="s">
        <v>32</v>
      </c>
      <c r="H38" s="247"/>
      <c r="I38" s="218" t="str">
        <f t="shared" si="1"/>
        <v/>
      </c>
      <c r="J38" s="248">
        <v>3</v>
      </c>
      <c r="K38" s="249">
        <f t="shared" si="14"/>
        <v>780</v>
      </c>
      <c r="L38" s="266">
        <v>2</v>
      </c>
      <c r="M38" s="249">
        <f t="shared" si="2"/>
        <v>520</v>
      </c>
      <c r="N38" s="251"/>
      <c r="O38" s="249" t="str">
        <f t="shared" si="15"/>
        <v/>
      </c>
      <c r="P38" s="252"/>
      <c r="Q38" s="249" t="str">
        <f t="shared" si="3"/>
        <v/>
      </c>
      <c r="R38" s="266"/>
      <c r="S38" s="249" t="str">
        <f t="shared" si="4"/>
        <v/>
      </c>
      <c r="T38" s="254"/>
      <c r="U38" s="255" t="str">
        <f t="shared" si="5"/>
        <v/>
      </c>
      <c r="V38" s="228"/>
      <c r="W38" s="256" t="str">
        <f t="shared" si="6"/>
        <v/>
      </c>
      <c r="X38" s="257" t="str">
        <f t="shared" si="7"/>
        <v/>
      </c>
      <c r="Y38" s="258" t="str">
        <f t="shared" si="16"/>
        <v/>
      </c>
      <c r="Z38" s="232" t="str">
        <f t="shared" si="8"/>
        <v/>
      </c>
      <c r="AA38" s="256" t="str">
        <f t="shared" si="9"/>
        <v/>
      </c>
      <c r="AB38" s="257" t="str">
        <f t="shared" si="10"/>
        <v/>
      </c>
      <c r="AC38" s="258" t="str">
        <f t="shared" si="11"/>
        <v/>
      </c>
      <c r="AD38" s="232" t="str">
        <f t="shared" si="12"/>
        <v/>
      </c>
      <c r="AE38" s="256" t="str">
        <f t="shared" si="17"/>
        <v/>
      </c>
      <c r="AF38" s="257" t="str">
        <f t="shared" si="18"/>
        <v/>
      </c>
      <c r="AG38" s="258" t="str">
        <f t="shared" si="19"/>
        <v/>
      </c>
      <c r="AH38" s="232" t="str">
        <f t="shared" si="20"/>
        <v/>
      </c>
      <c r="AI38" s="259">
        <f t="shared" si="21"/>
        <v>780</v>
      </c>
      <c r="AJ38" s="260">
        <f t="shared" si="22"/>
        <v>520</v>
      </c>
      <c r="AK38" s="261" t="str">
        <f t="shared" si="23"/>
        <v/>
      </c>
      <c r="AL38" s="429"/>
      <c r="AN38" s="86"/>
      <c r="AO38" s="94"/>
      <c r="AP38" s="94"/>
      <c r="AQ38" s="94"/>
      <c r="AR38" s="94"/>
      <c r="AS38" s="94"/>
      <c r="AT38" s="284"/>
    </row>
    <row r="39" spans="1:47" x14ac:dyDescent="0.25">
      <c r="A39" s="210">
        <v>0</v>
      </c>
      <c r="B39" s="241" t="s">
        <v>495</v>
      </c>
      <c r="C39" s="242" t="s">
        <v>492</v>
      </c>
      <c r="D39" s="243">
        <f t="shared" si="13"/>
        <v>9</v>
      </c>
      <c r="E39" s="290">
        <v>265</v>
      </c>
      <c r="F39" s="245">
        <f t="shared" si="0"/>
        <v>2385</v>
      </c>
      <c r="G39" s="246" t="s">
        <v>32</v>
      </c>
      <c r="H39" s="247"/>
      <c r="I39" s="218" t="str">
        <f t="shared" si="1"/>
        <v/>
      </c>
      <c r="J39" s="248">
        <v>9</v>
      </c>
      <c r="K39" s="249">
        <f t="shared" si="14"/>
        <v>2385</v>
      </c>
      <c r="L39" s="266"/>
      <c r="M39" s="249" t="str">
        <f t="shared" si="2"/>
        <v/>
      </c>
      <c r="N39" s="251"/>
      <c r="O39" s="249" t="str">
        <f t="shared" si="15"/>
        <v/>
      </c>
      <c r="P39" s="252"/>
      <c r="Q39" s="249" t="str">
        <f t="shared" si="3"/>
        <v/>
      </c>
      <c r="R39" s="266"/>
      <c r="S39" s="249" t="str">
        <f t="shared" si="4"/>
        <v/>
      </c>
      <c r="T39" s="254"/>
      <c r="U39" s="255" t="str">
        <f t="shared" si="5"/>
        <v/>
      </c>
      <c r="V39" s="228"/>
      <c r="W39" s="256" t="str">
        <f t="shared" si="6"/>
        <v/>
      </c>
      <c r="X39" s="257" t="str">
        <f t="shared" si="7"/>
        <v/>
      </c>
      <c r="Y39" s="258" t="str">
        <f t="shared" si="16"/>
        <v/>
      </c>
      <c r="Z39" s="232" t="str">
        <f t="shared" ref="Z39:Z90" si="25">IF(SUM(S39)=SUM(W39:Y39),"","K")</f>
        <v/>
      </c>
      <c r="AA39" s="256" t="str">
        <f t="shared" si="9"/>
        <v/>
      </c>
      <c r="AB39" s="257" t="str">
        <f t="shared" si="10"/>
        <v/>
      </c>
      <c r="AC39" s="258" t="str">
        <f t="shared" si="11"/>
        <v/>
      </c>
      <c r="AD39" s="232" t="str">
        <f t="shared" si="12"/>
        <v/>
      </c>
      <c r="AE39" s="256" t="str">
        <f t="shared" si="17"/>
        <v/>
      </c>
      <c r="AF39" s="257" t="str">
        <f t="shared" si="18"/>
        <v/>
      </c>
      <c r="AG39" s="258" t="str">
        <f t="shared" si="19"/>
        <v/>
      </c>
      <c r="AH39" s="232" t="str">
        <f t="shared" si="20"/>
        <v/>
      </c>
      <c r="AI39" s="259">
        <f t="shared" si="21"/>
        <v>2385</v>
      </c>
      <c r="AJ39" s="260" t="str">
        <f t="shared" si="22"/>
        <v/>
      </c>
      <c r="AK39" s="261" t="str">
        <f t="shared" si="23"/>
        <v/>
      </c>
      <c r="AL39" s="429"/>
      <c r="AN39" s="86"/>
      <c r="AO39" s="94"/>
      <c r="AP39" s="94"/>
      <c r="AQ39" s="94"/>
      <c r="AR39" s="94"/>
      <c r="AS39" s="94"/>
      <c r="AT39" s="284"/>
    </row>
    <row r="40" spans="1:47" x14ac:dyDescent="0.25">
      <c r="A40" s="210">
        <v>0</v>
      </c>
      <c r="B40" s="241" t="s">
        <v>496</v>
      </c>
      <c r="C40" s="242" t="s">
        <v>497</v>
      </c>
      <c r="D40" s="243">
        <f t="shared" si="13"/>
        <v>43</v>
      </c>
      <c r="E40" s="290">
        <v>115</v>
      </c>
      <c r="F40" s="245">
        <f t="shared" si="0"/>
        <v>4945</v>
      </c>
      <c r="G40" s="246" t="s">
        <v>32</v>
      </c>
      <c r="H40" s="247"/>
      <c r="I40" s="218" t="str">
        <f t="shared" si="1"/>
        <v/>
      </c>
      <c r="J40" s="248">
        <v>30</v>
      </c>
      <c r="K40" s="249">
        <f t="shared" si="14"/>
        <v>3450</v>
      </c>
      <c r="L40" s="266">
        <v>8</v>
      </c>
      <c r="M40" s="249">
        <f t="shared" si="2"/>
        <v>920</v>
      </c>
      <c r="N40" s="251"/>
      <c r="O40" s="249" t="str">
        <f t="shared" si="15"/>
        <v/>
      </c>
      <c r="P40" s="252"/>
      <c r="Q40" s="249" t="str">
        <f t="shared" si="3"/>
        <v/>
      </c>
      <c r="R40" s="266">
        <v>5</v>
      </c>
      <c r="S40" s="249">
        <f t="shared" si="4"/>
        <v>575</v>
      </c>
      <c r="T40" s="254"/>
      <c r="U40" s="255" t="str">
        <f t="shared" si="5"/>
        <v/>
      </c>
      <c r="V40" s="228"/>
      <c r="W40" s="256">
        <f t="shared" si="6"/>
        <v>468.35910942093534</v>
      </c>
      <c r="X40" s="257">
        <f t="shared" si="7"/>
        <v>106.64089057906465</v>
      </c>
      <c r="Y40" s="258">
        <f t="shared" si="16"/>
        <v>0</v>
      </c>
      <c r="Z40" s="232" t="str">
        <f t="shared" si="25"/>
        <v/>
      </c>
      <c r="AA40" s="256" t="str">
        <f t="shared" si="9"/>
        <v/>
      </c>
      <c r="AB40" s="257" t="str">
        <f t="shared" si="10"/>
        <v/>
      </c>
      <c r="AC40" s="258" t="str">
        <f t="shared" si="11"/>
        <v/>
      </c>
      <c r="AD40" s="232" t="str">
        <f t="shared" si="12"/>
        <v/>
      </c>
      <c r="AE40" s="256" t="str">
        <f t="shared" si="17"/>
        <v/>
      </c>
      <c r="AF40" s="257" t="str">
        <f t="shared" si="18"/>
        <v/>
      </c>
      <c r="AG40" s="258" t="str">
        <f t="shared" si="19"/>
        <v/>
      </c>
      <c r="AH40" s="232" t="str">
        <f t="shared" si="20"/>
        <v/>
      </c>
      <c r="AI40" s="259">
        <f t="shared" si="21"/>
        <v>3918.3591094209355</v>
      </c>
      <c r="AJ40" s="260">
        <f t="shared" si="22"/>
        <v>1026.6408905790647</v>
      </c>
      <c r="AK40" s="261" t="str">
        <f t="shared" si="23"/>
        <v/>
      </c>
      <c r="AL40" s="429"/>
      <c r="AN40" s="96"/>
      <c r="AO40" s="101"/>
      <c r="AP40" s="101"/>
      <c r="AQ40" s="101"/>
      <c r="AR40" s="101"/>
      <c r="AS40" s="101"/>
      <c r="AT40" s="287"/>
    </row>
    <row r="41" spans="1:47" x14ac:dyDescent="0.25">
      <c r="A41" s="210">
        <v>0</v>
      </c>
      <c r="B41" s="271" t="s">
        <v>498</v>
      </c>
      <c r="C41" s="272" t="s">
        <v>499</v>
      </c>
      <c r="D41" s="243">
        <f t="shared" si="13"/>
        <v>4</v>
      </c>
      <c r="E41" s="273">
        <v>79</v>
      </c>
      <c r="F41" s="245">
        <f t="shared" si="0"/>
        <v>316</v>
      </c>
      <c r="G41" s="274" t="s">
        <v>32</v>
      </c>
      <c r="H41" s="275"/>
      <c r="I41" s="276" t="str">
        <f t="shared" si="1"/>
        <v/>
      </c>
      <c r="J41" s="277">
        <v>2</v>
      </c>
      <c r="K41" s="249">
        <f t="shared" si="14"/>
        <v>158</v>
      </c>
      <c r="L41" s="278"/>
      <c r="M41" s="249" t="str">
        <f t="shared" si="2"/>
        <v/>
      </c>
      <c r="N41" s="279"/>
      <c r="O41" s="249" t="str">
        <f t="shared" si="15"/>
        <v/>
      </c>
      <c r="P41" s="280"/>
      <c r="Q41" s="249" t="str">
        <f t="shared" si="3"/>
        <v/>
      </c>
      <c r="R41" s="278">
        <v>2</v>
      </c>
      <c r="S41" s="249">
        <f t="shared" si="4"/>
        <v>158</v>
      </c>
      <c r="T41" s="281"/>
      <c r="U41" s="255" t="str">
        <f t="shared" si="5"/>
        <v/>
      </c>
      <c r="V41" s="282"/>
      <c r="W41" s="256">
        <f t="shared" si="6"/>
        <v>128.69693789305703</v>
      </c>
      <c r="X41" s="257">
        <f t="shared" si="7"/>
        <v>29.303062106942981</v>
      </c>
      <c r="Y41" s="258">
        <f t="shared" si="16"/>
        <v>0</v>
      </c>
      <c r="Z41" s="283" t="str">
        <f t="shared" si="25"/>
        <v/>
      </c>
      <c r="AA41" s="256" t="str">
        <f t="shared" si="9"/>
        <v/>
      </c>
      <c r="AB41" s="257" t="str">
        <f t="shared" si="10"/>
        <v/>
      </c>
      <c r="AC41" s="258" t="str">
        <f t="shared" si="11"/>
        <v/>
      </c>
      <c r="AD41" s="283" t="str">
        <f t="shared" si="12"/>
        <v/>
      </c>
      <c r="AE41" s="256" t="str">
        <f t="shared" si="17"/>
        <v/>
      </c>
      <c r="AF41" s="257" t="str">
        <f t="shared" si="18"/>
        <v/>
      </c>
      <c r="AG41" s="258" t="str">
        <f t="shared" si="19"/>
        <v/>
      </c>
      <c r="AH41" s="283" t="str">
        <f t="shared" si="20"/>
        <v/>
      </c>
      <c r="AI41" s="259">
        <f t="shared" si="21"/>
        <v>286.696937893057</v>
      </c>
      <c r="AJ41" s="260">
        <f t="shared" si="22"/>
        <v>29.303062106942981</v>
      </c>
      <c r="AK41" s="261" t="str">
        <f t="shared" si="23"/>
        <v/>
      </c>
      <c r="AL41" s="429"/>
      <c r="AN41" s="96"/>
      <c r="AO41" s="101"/>
      <c r="AP41" s="101"/>
      <c r="AQ41" s="101"/>
      <c r="AR41" s="101"/>
      <c r="AS41" s="101"/>
      <c r="AT41" s="287"/>
    </row>
    <row r="42" spans="1:47" x14ac:dyDescent="0.25">
      <c r="A42" s="210">
        <v>0</v>
      </c>
      <c r="B42" s="241" t="s">
        <v>500</v>
      </c>
      <c r="C42" s="242" t="s">
        <v>501</v>
      </c>
      <c r="D42" s="243">
        <f t="shared" si="13"/>
        <v>20</v>
      </c>
      <c r="E42" s="290">
        <v>230</v>
      </c>
      <c r="F42" s="245">
        <f t="shared" si="0"/>
        <v>4600</v>
      </c>
      <c r="G42" s="246" t="s">
        <v>32</v>
      </c>
      <c r="H42" s="247"/>
      <c r="I42" s="218" t="str">
        <f t="shared" si="1"/>
        <v/>
      </c>
      <c r="J42" s="248">
        <v>8</v>
      </c>
      <c r="K42" s="249">
        <f t="shared" si="14"/>
        <v>1840</v>
      </c>
      <c r="L42" s="266"/>
      <c r="M42" s="249" t="str">
        <f t="shared" si="2"/>
        <v/>
      </c>
      <c r="N42" s="251"/>
      <c r="O42" s="249" t="str">
        <f t="shared" si="15"/>
        <v/>
      </c>
      <c r="P42" s="293">
        <v>12</v>
      </c>
      <c r="Q42" s="249">
        <f t="shared" si="3"/>
        <v>2760</v>
      </c>
      <c r="R42" s="266"/>
      <c r="S42" s="249" t="str">
        <f t="shared" si="4"/>
        <v/>
      </c>
      <c r="T42" s="254"/>
      <c r="U42" s="255" t="str">
        <f t="shared" si="5"/>
        <v/>
      </c>
      <c r="V42" s="228"/>
      <c r="W42" s="256" t="str">
        <f t="shared" si="6"/>
        <v/>
      </c>
      <c r="X42" s="257" t="str">
        <f t="shared" si="7"/>
        <v/>
      </c>
      <c r="Y42" s="258" t="str">
        <f t="shared" si="16"/>
        <v/>
      </c>
      <c r="Z42" s="232" t="str">
        <f t="shared" si="25"/>
        <v/>
      </c>
      <c r="AA42" s="256" t="str">
        <f t="shared" si="9"/>
        <v/>
      </c>
      <c r="AB42" s="257" t="str">
        <f t="shared" si="10"/>
        <v/>
      </c>
      <c r="AC42" s="258" t="str">
        <f t="shared" si="11"/>
        <v/>
      </c>
      <c r="AD42" s="232" t="str">
        <f t="shared" si="12"/>
        <v/>
      </c>
      <c r="AE42" s="256">
        <f t="shared" si="17"/>
        <v>2070</v>
      </c>
      <c r="AF42" s="257">
        <f t="shared" si="18"/>
        <v>690</v>
      </c>
      <c r="AG42" s="258" t="str">
        <f t="shared" si="19"/>
        <v/>
      </c>
      <c r="AH42" s="232" t="str">
        <f t="shared" si="20"/>
        <v/>
      </c>
      <c r="AI42" s="259">
        <f t="shared" si="21"/>
        <v>3910</v>
      </c>
      <c r="AJ42" s="260">
        <f t="shared" si="22"/>
        <v>690</v>
      </c>
      <c r="AK42" s="261" t="str">
        <f t="shared" si="23"/>
        <v/>
      </c>
      <c r="AL42" s="429"/>
      <c r="AN42" s="96"/>
      <c r="AO42" s="101"/>
      <c r="AP42" s="101"/>
      <c r="AQ42" s="101"/>
      <c r="AR42" s="101"/>
      <c r="AS42" s="101"/>
      <c r="AT42" s="287"/>
    </row>
    <row r="43" spans="1:47" x14ac:dyDescent="0.25">
      <c r="A43" s="210">
        <v>0</v>
      </c>
      <c r="B43" s="241" t="s">
        <v>502</v>
      </c>
      <c r="C43" s="242" t="s">
        <v>503</v>
      </c>
      <c r="D43" s="243">
        <f t="shared" si="13"/>
        <v>4</v>
      </c>
      <c r="E43" s="244">
        <v>4140</v>
      </c>
      <c r="F43" s="245">
        <f t="shared" si="0"/>
        <v>16560</v>
      </c>
      <c r="G43" s="246" t="s">
        <v>32</v>
      </c>
      <c r="H43" s="247"/>
      <c r="I43" s="218" t="str">
        <f t="shared" si="1"/>
        <v/>
      </c>
      <c r="J43" s="248">
        <v>1</v>
      </c>
      <c r="K43" s="249">
        <f t="shared" si="14"/>
        <v>4140</v>
      </c>
      <c r="L43" s="266">
        <v>2</v>
      </c>
      <c r="M43" s="249">
        <f t="shared" si="2"/>
        <v>8280</v>
      </c>
      <c r="N43" s="251"/>
      <c r="O43" s="249" t="str">
        <f t="shared" si="15"/>
        <v/>
      </c>
      <c r="P43" s="293">
        <v>1</v>
      </c>
      <c r="Q43" s="249">
        <f t="shared" si="3"/>
        <v>4140</v>
      </c>
      <c r="R43" s="266"/>
      <c r="S43" s="249" t="str">
        <f t="shared" si="4"/>
        <v/>
      </c>
      <c r="T43" s="254"/>
      <c r="U43" s="255" t="str">
        <f t="shared" si="5"/>
        <v/>
      </c>
      <c r="V43" s="228"/>
      <c r="W43" s="256" t="str">
        <f t="shared" si="6"/>
        <v/>
      </c>
      <c r="X43" s="257" t="str">
        <f t="shared" si="7"/>
        <v/>
      </c>
      <c r="Y43" s="258" t="str">
        <f t="shared" si="16"/>
        <v/>
      </c>
      <c r="Z43" s="232" t="str">
        <f t="shared" si="25"/>
        <v/>
      </c>
      <c r="AA43" s="256" t="str">
        <f t="shared" si="9"/>
        <v/>
      </c>
      <c r="AB43" s="257" t="str">
        <f t="shared" si="10"/>
        <v/>
      </c>
      <c r="AC43" s="258" t="str">
        <f t="shared" si="11"/>
        <v/>
      </c>
      <c r="AD43" s="232" t="str">
        <f t="shared" si="12"/>
        <v/>
      </c>
      <c r="AE43" s="256">
        <f t="shared" si="17"/>
        <v>3105</v>
      </c>
      <c r="AF43" s="257">
        <f t="shared" si="18"/>
        <v>1035</v>
      </c>
      <c r="AG43" s="258" t="str">
        <f t="shared" si="19"/>
        <v/>
      </c>
      <c r="AH43" s="232" t="str">
        <f t="shared" si="20"/>
        <v/>
      </c>
      <c r="AI43" s="259">
        <f t="shared" si="21"/>
        <v>7245</v>
      </c>
      <c r="AJ43" s="260">
        <f t="shared" si="22"/>
        <v>9315</v>
      </c>
      <c r="AK43" s="261" t="str">
        <f t="shared" si="23"/>
        <v/>
      </c>
      <c r="AL43" s="429"/>
      <c r="AN43" s="86"/>
      <c r="AO43" s="94"/>
      <c r="AP43" s="94"/>
      <c r="AQ43" s="94"/>
      <c r="AR43" s="94"/>
      <c r="AS43" s="94"/>
      <c r="AT43" s="284"/>
    </row>
    <row r="44" spans="1:47" x14ac:dyDescent="0.25">
      <c r="A44" s="210">
        <v>0</v>
      </c>
      <c r="B44" s="241" t="s">
        <v>504</v>
      </c>
      <c r="C44" s="289" t="s">
        <v>505</v>
      </c>
      <c r="D44" s="243">
        <f t="shared" si="13"/>
        <v>38</v>
      </c>
      <c r="E44" s="244">
        <v>184</v>
      </c>
      <c r="F44" s="245">
        <f t="shared" si="0"/>
        <v>6992</v>
      </c>
      <c r="G44" s="246" t="s">
        <v>32</v>
      </c>
      <c r="H44" s="247"/>
      <c r="I44" s="218" t="str">
        <f t="shared" si="1"/>
        <v/>
      </c>
      <c r="J44" s="248">
        <v>10</v>
      </c>
      <c r="K44" s="249">
        <f t="shared" si="14"/>
        <v>1840</v>
      </c>
      <c r="L44" s="293">
        <v>18</v>
      </c>
      <c r="M44" s="249">
        <f t="shared" si="2"/>
        <v>3312</v>
      </c>
      <c r="N44" s="251"/>
      <c r="O44" s="249" t="str">
        <f t="shared" si="15"/>
        <v/>
      </c>
      <c r="P44" s="293">
        <v>10</v>
      </c>
      <c r="Q44" s="249">
        <f t="shared" si="3"/>
        <v>1840</v>
      </c>
      <c r="R44" s="266"/>
      <c r="S44" s="249" t="str">
        <f t="shared" si="4"/>
        <v/>
      </c>
      <c r="T44" s="254"/>
      <c r="U44" s="255" t="str">
        <f t="shared" si="5"/>
        <v/>
      </c>
      <c r="V44" s="228"/>
      <c r="W44" s="256" t="str">
        <f t="shared" si="6"/>
        <v/>
      </c>
      <c r="X44" s="257" t="str">
        <f t="shared" si="7"/>
        <v/>
      </c>
      <c r="Y44" s="258" t="str">
        <f t="shared" si="16"/>
        <v/>
      </c>
      <c r="Z44" s="232" t="str">
        <f t="shared" si="25"/>
        <v/>
      </c>
      <c r="AA44" s="256" t="str">
        <f t="shared" si="9"/>
        <v/>
      </c>
      <c r="AB44" s="257" t="str">
        <f t="shared" si="10"/>
        <v/>
      </c>
      <c r="AC44" s="258" t="str">
        <f t="shared" si="11"/>
        <v/>
      </c>
      <c r="AD44" s="232" t="str">
        <f t="shared" si="12"/>
        <v/>
      </c>
      <c r="AE44" s="256">
        <f t="shared" si="17"/>
        <v>1380</v>
      </c>
      <c r="AF44" s="257">
        <f t="shared" si="18"/>
        <v>460</v>
      </c>
      <c r="AG44" s="258" t="str">
        <f t="shared" si="19"/>
        <v/>
      </c>
      <c r="AH44" s="232" t="str">
        <f t="shared" si="20"/>
        <v/>
      </c>
      <c r="AI44" s="259">
        <f t="shared" si="21"/>
        <v>3220</v>
      </c>
      <c r="AJ44" s="260">
        <f t="shared" si="22"/>
        <v>3772</v>
      </c>
      <c r="AK44" s="261" t="str">
        <f t="shared" si="23"/>
        <v/>
      </c>
      <c r="AL44" s="429"/>
      <c r="AN44" s="86"/>
      <c r="AO44" s="94"/>
      <c r="AP44" s="94"/>
      <c r="AQ44" s="94"/>
      <c r="AR44" s="94"/>
      <c r="AS44" s="94"/>
      <c r="AT44" s="284"/>
    </row>
    <row r="45" spans="1:47" x14ac:dyDescent="0.25">
      <c r="A45" s="210">
        <v>0</v>
      </c>
      <c r="B45" s="241" t="s">
        <v>506</v>
      </c>
      <c r="C45" s="289" t="s">
        <v>507</v>
      </c>
      <c r="D45" s="243">
        <f t="shared" si="13"/>
        <v>3</v>
      </c>
      <c r="E45" s="244">
        <v>989</v>
      </c>
      <c r="F45" s="245">
        <f t="shared" si="0"/>
        <v>2967</v>
      </c>
      <c r="G45" s="246" t="s">
        <v>32</v>
      </c>
      <c r="H45" s="247"/>
      <c r="I45" s="218" t="str">
        <f t="shared" si="1"/>
        <v/>
      </c>
      <c r="J45" s="248">
        <v>3</v>
      </c>
      <c r="K45" s="249">
        <f t="shared" si="14"/>
        <v>2967</v>
      </c>
      <c r="L45" s="266"/>
      <c r="M45" s="249" t="str">
        <f t="shared" si="2"/>
        <v/>
      </c>
      <c r="N45" s="251"/>
      <c r="O45" s="249" t="str">
        <f t="shared" si="15"/>
        <v/>
      </c>
      <c r="P45" s="293"/>
      <c r="Q45" s="249" t="str">
        <f t="shared" si="3"/>
        <v/>
      </c>
      <c r="R45" s="266"/>
      <c r="S45" s="249" t="str">
        <f t="shared" si="4"/>
        <v/>
      </c>
      <c r="T45" s="254"/>
      <c r="U45" s="255" t="str">
        <f t="shared" si="5"/>
        <v/>
      </c>
      <c r="V45" s="228"/>
      <c r="W45" s="256" t="str">
        <f t="shared" si="6"/>
        <v/>
      </c>
      <c r="X45" s="257" t="str">
        <f t="shared" si="7"/>
        <v/>
      </c>
      <c r="Y45" s="258" t="str">
        <f t="shared" si="16"/>
        <v/>
      </c>
      <c r="Z45" s="232" t="str">
        <f t="shared" si="25"/>
        <v/>
      </c>
      <c r="AA45" s="256" t="str">
        <f t="shared" si="9"/>
        <v/>
      </c>
      <c r="AB45" s="257" t="str">
        <f t="shared" si="10"/>
        <v/>
      </c>
      <c r="AC45" s="258" t="str">
        <f t="shared" si="11"/>
        <v/>
      </c>
      <c r="AD45" s="232" t="str">
        <f t="shared" si="12"/>
        <v/>
      </c>
      <c r="AE45" s="256" t="str">
        <f t="shared" si="17"/>
        <v/>
      </c>
      <c r="AF45" s="257" t="str">
        <f t="shared" si="18"/>
        <v/>
      </c>
      <c r="AG45" s="258" t="str">
        <f t="shared" si="19"/>
        <v/>
      </c>
      <c r="AH45" s="232" t="str">
        <f t="shared" si="20"/>
        <v/>
      </c>
      <c r="AI45" s="259">
        <f t="shared" si="21"/>
        <v>2967</v>
      </c>
      <c r="AJ45" s="260" t="str">
        <f t="shared" si="22"/>
        <v/>
      </c>
      <c r="AK45" s="261" t="str">
        <f t="shared" si="23"/>
        <v/>
      </c>
      <c r="AL45" s="429"/>
      <c r="AS45" s="78"/>
      <c r="AT45" s="270"/>
    </row>
    <row r="46" spans="1:47" x14ac:dyDescent="0.25">
      <c r="A46" s="210">
        <v>0</v>
      </c>
      <c r="B46" s="241" t="s">
        <v>508</v>
      </c>
      <c r="C46" s="289" t="s">
        <v>509</v>
      </c>
      <c r="D46" s="243">
        <f t="shared" si="13"/>
        <v>12</v>
      </c>
      <c r="E46" s="244">
        <v>161</v>
      </c>
      <c r="F46" s="245">
        <f t="shared" si="0"/>
        <v>1932</v>
      </c>
      <c r="G46" s="246" t="s">
        <v>32</v>
      </c>
      <c r="H46" s="247"/>
      <c r="I46" s="218" t="str">
        <f t="shared" si="1"/>
        <v/>
      </c>
      <c r="J46" s="248">
        <v>12</v>
      </c>
      <c r="K46" s="249">
        <f t="shared" si="14"/>
        <v>1932</v>
      </c>
      <c r="L46" s="266"/>
      <c r="M46" s="249" t="str">
        <f t="shared" si="2"/>
        <v/>
      </c>
      <c r="N46" s="251"/>
      <c r="O46" s="249" t="str">
        <f t="shared" si="15"/>
        <v/>
      </c>
      <c r="P46" s="252"/>
      <c r="Q46" s="249" t="str">
        <f t="shared" si="3"/>
        <v/>
      </c>
      <c r="R46" s="266"/>
      <c r="S46" s="249" t="str">
        <f t="shared" si="4"/>
        <v/>
      </c>
      <c r="T46" s="254"/>
      <c r="U46" s="255" t="str">
        <f t="shared" si="5"/>
        <v/>
      </c>
      <c r="V46" s="228"/>
      <c r="W46" s="256" t="str">
        <f t="shared" si="6"/>
        <v/>
      </c>
      <c r="X46" s="257" t="str">
        <f t="shared" si="7"/>
        <v/>
      </c>
      <c r="Y46" s="258" t="str">
        <f t="shared" si="16"/>
        <v/>
      </c>
      <c r="Z46" s="232" t="str">
        <f t="shared" si="25"/>
        <v/>
      </c>
      <c r="AA46" s="256" t="str">
        <f t="shared" si="9"/>
        <v/>
      </c>
      <c r="AB46" s="257" t="str">
        <f t="shared" si="10"/>
        <v/>
      </c>
      <c r="AC46" s="258" t="str">
        <f t="shared" si="11"/>
        <v/>
      </c>
      <c r="AD46" s="232" t="str">
        <f t="shared" si="12"/>
        <v/>
      </c>
      <c r="AE46" s="256" t="str">
        <f t="shared" si="17"/>
        <v/>
      </c>
      <c r="AF46" s="257" t="str">
        <f t="shared" si="18"/>
        <v/>
      </c>
      <c r="AG46" s="258" t="str">
        <f t="shared" si="19"/>
        <v/>
      </c>
      <c r="AH46" s="232" t="str">
        <f t="shared" si="20"/>
        <v/>
      </c>
      <c r="AI46" s="259">
        <f t="shared" si="21"/>
        <v>1932</v>
      </c>
      <c r="AJ46" s="260" t="str">
        <f t="shared" si="22"/>
        <v/>
      </c>
      <c r="AK46" s="261" t="str">
        <f t="shared" si="23"/>
        <v/>
      </c>
      <c r="AL46" s="429"/>
      <c r="AS46" s="78"/>
      <c r="AT46" s="270"/>
    </row>
    <row r="47" spans="1:47" x14ac:dyDescent="0.25">
      <c r="A47" s="210">
        <v>0</v>
      </c>
      <c r="B47" s="241" t="s">
        <v>510</v>
      </c>
      <c r="C47" s="289" t="s">
        <v>511</v>
      </c>
      <c r="D47" s="243">
        <f t="shared" si="13"/>
        <v>1</v>
      </c>
      <c r="E47" s="294">
        <v>966</v>
      </c>
      <c r="F47" s="245">
        <f t="shared" si="0"/>
        <v>966</v>
      </c>
      <c r="G47" s="246" t="s">
        <v>32</v>
      </c>
      <c r="H47" s="247"/>
      <c r="I47" s="218" t="str">
        <f t="shared" si="1"/>
        <v/>
      </c>
      <c r="J47" s="248">
        <v>1</v>
      </c>
      <c r="K47" s="249">
        <f t="shared" si="14"/>
        <v>966</v>
      </c>
      <c r="L47" s="266"/>
      <c r="M47" s="249" t="str">
        <f t="shared" si="2"/>
        <v/>
      </c>
      <c r="N47" s="251"/>
      <c r="O47" s="249" t="str">
        <f t="shared" si="15"/>
        <v/>
      </c>
      <c r="P47" s="252"/>
      <c r="Q47" s="249" t="str">
        <f t="shared" si="3"/>
        <v/>
      </c>
      <c r="R47" s="253"/>
      <c r="S47" s="249" t="str">
        <f t="shared" si="4"/>
        <v/>
      </c>
      <c r="T47" s="254"/>
      <c r="U47" s="255" t="str">
        <f t="shared" si="5"/>
        <v/>
      </c>
      <c r="V47" s="228"/>
      <c r="W47" s="256" t="str">
        <f t="shared" si="6"/>
        <v/>
      </c>
      <c r="X47" s="257" t="str">
        <f t="shared" si="7"/>
        <v/>
      </c>
      <c r="Y47" s="258" t="str">
        <f t="shared" si="16"/>
        <v/>
      </c>
      <c r="Z47" s="232" t="str">
        <f t="shared" si="25"/>
        <v/>
      </c>
      <c r="AA47" s="256" t="str">
        <f t="shared" si="9"/>
        <v/>
      </c>
      <c r="AB47" s="257" t="str">
        <f t="shared" si="10"/>
        <v/>
      </c>
      <c r="AC47" s="258" t="str">
        <f t="shared" si="11"/>
        <v/>
      </c>
      <c r="AD47" s="232" t="str">
        <f t="shared" si="12"/>
        <v/>
      </c>
      <c r="AE47" s="256" t="str">
        <f t="shared" si="17"/>
        <v/>
      </c>
      <c r="AF47" s="257" t="str">
        <f t="shared" si="18"/>
        <v/>
      </c>
      <c r="AG47" s="258" t="str">
        <f t="shared" si="19"/>
        <v/>
      </c>
      <c r="AH47" s="232" t="str">
        <f t="shared" si="20"/>
        <v/>
      </c>
      <c r="AI47" s="259">
        <f t="shared" si="21"/>
        <v>966</v>
      </c>
      <c r="AJ47" s="260" t="str">
        <f t="shared" si="22"/>
        <v/>
      </c>
      <c r="AK47" s="261" t="str">
        <f t="shared" si="23"/>
        <v/>
      </c>
      <c r="AL47" s="429"/>
    </row>
    <row r="48" spans="1:47" x14ac:dyDescent="0.25">
      <c r="A48" s="210">
        <v>0</v>
      </c>
      <c r="B48" s="241" t="s">
        <v>512</v>
      </c>
      <c r="C48" s="289" t="s">
        <v>513</v>
      </c>
      <c r="D48" s="243">
        <f t="shared" si="13"/>
        <v>10</v>
      </c>
      <c r="E48" s="294">
        <v>126.5</v>
      </c>
      <c r="F48" s="245">
        <f t="shared" si="0"/>
        <v>1265</v>
      </c>
      <c r="G48" s="246" t="s">
        <v>32</v>
      </c>
      <c r="H48" s="247"/>
      <c r="I48" s="218" t="str">
        <f t="shared" si="1"/>
        <v/>
      </c>
      <c r="J48" s="248">
        <v>10</v>
      </c>
      <c r="K48" s="249">
        <f t="shared" si="14"/>
        <v>1265</v>
      </c>
      <c r="L48" s="266"/>
      <c r="M48" s="249" t="str">
        <f t="shared" si="2"/>
        <v/>
      </c>
      <c r="N48" s="251"/>
      <c r="O48" s="249" t="str">
        <f t="shared" si="15"/>
        <v/>
      </c>
      <c r="P48" s="252"/>
      <c r="Q48" s="249" t="str">
        <f t="shared" si="3"/>
        <v/>
      </c>
      <c r="R48" s="253"/>
      <c r="S48" s="249" t="str">
        <f t="shared" si="4"/>
        <v/>
      </c>
      <c r="T48" s="254"/>
      <c r="U48" s="255" t="str">
        <f t="shared" si="5"/>
        <v/>
      </c>
      <c r="V48" s="228"/>
      <c r="W48" s="256" t="str">
        <f t="shared" si="6"/>
        <v/>
      </c>
      <c r="X48" s="257" t="str">
        <f t="shared" si="7"/>
        <v/>
      </c>
      <c r="Y48" s="258" t="str">
        <f t="shared" si="16"/>
        <v/>
      </c>
      <c r="Z48" s="232" t="str">
        <f t="shared" si="25"/>
        <v/>
      </c>
      <c r="AA48" s="256" t="str">
        <f t="shared" si="9"/>
        <v/>
      </c>
      <c r="AB48" s="257" t="str">
        <f t="shared" si="10"/>
        <v/>
      </c>
      <c r="AC48" s="258" t="str">
        <f t="shared" si="11"/>
        <v/>
      </c>
      <c r="AD48" s="232" t="str">
        <f t="shared" si="12"/>
        <v/>
      </c>
      <c r="AE48" s="256" t="str">
        <f t="shared" si="17"/>
        <v/>
      </c>
      <c r="AF48" s="257" t="str">
        <f t="shared" si="18"/>
        <v/>
      </c>
      <c r="AG48" s="258" t="str">
        <f t="shared" si="19"/>
        <v/>
      </c>
      <c r="AH48" s="232" t="str">
        <f t="shared" si="20"/>
        <v/>
      </c>
      <c r="AI48" s="259">
        <f t="shared" si="21"/>
        <v>1265</v>
      </c>
      <c r="AJ48" s="260" t="str">
        <f t="shared" si="22"/>
        <v/>
      </c>
      <c r="AK48" s="261" t="str">
        <f t="shared" si="23"/>
        <v/>
      </c>
      <c r="AL48" s="429"/>
      <c r="AO48" s="78"/>
      <c r="AP48" s="78"/>
      <c r="AQ48" s="78"/>
      <c r="AR48" s="78"/>
      <c r="AS48" s="78"/>
      <c r="AT48" s="270"/>
    </row>
    <row r="49" spans="1:47" x14ac:dyDescent="0.25">
      <c r="A49" s="210">
        <v>0</v>
      </c>
      <c r="B49" s="241" t="s">
        <v>514</v>
      </c>
      <c r="C49" s="289" t="s">
        <v>515</v>
      </c>
      <c r="D49" s="243">
        <f t="shared" si="13"/>
        <v>1</v>
      </c>
      <c r="E49" s="294">
        <v>1610</v>
      </c>
      <c r="F49" s="245">
        <f t="shared" si="0"/>
        <v>1610</v>
      </c>
      <c r="G49" s="246" t="s">
        <v>32</v>
      </c>
      <c r="H49" s="247"/>
      <c r="I49" s="218" t="str">
        <f t="shared" si="1"/>
        <v/>
      </c>
      <c r="J49" s="248">
        <v>1</v>
      </c>
      <c r="K49" s="249">
        <f t="shared" si="14"/>
        <v>1610</v>
      </c>
      <c r="L49" s="295"/>
      <c r="M49" s="249" t="str">
        <f t="shared" si="2"/>
        <v/>
      </c>
      <c r="N49" s="251"/>
      <c r="O49" s="249" t="str">
        <f t="shared" si="15"/>
        <v/>
      </c>
      <c r="P49" s="252"/>
      <c r="Q49" s="249" t="str">
        <f t="shared" si="3"/>
        <v/>
      </c>
      <c r="R49" s="266"/>
      <c r="S49" s="249" t="str">
        <f t="shared" si="4"/>
        <v/>
      </c>
      <c r="T49" s="254"/>
      <c r="U49" s="255" t="str">
        <f t="shared" si="5"/>
        <v/>
      </c>
      <c r="V49" s="228"/>
      <c r="W49" s="256" t="str">
        <f t="shared" si="6"/>
        <v/>
      </c>
      <c r="X49" s="257" t="str">
        <f t="shared" si="7"/>
        <v/>
      </c>
      <c r="Y49" s="258" t="str">
        <f t="shared" si="16"/>
        <v/>
      </c>
      <c r="Z49" s="232" t="str">
        <f t="shared" si="25"/>
        <v/>
      </c>
      <c r="AA49" s="256" t="str">
        <f t="shared" si="9"/>
        <v/>
      </c>
      <c r="AB49" s="257" t="str">
        <f t="shared" si="10"/>
        <v/>
      </c>
      <c r="AC49" s="258" t="str">
        <f t="shared" si="11"/>
        <v/>
      </c>
      <c r="AD49" s="232" t="str">
        <f t="shared" si="12"/>
        <v/>
      </c>
      <c r="AE49" s="256" t="str">
        <f t="shared" si="17"/>
        <v/>
      </c>
      <c r="AF49" s="257" t="str">
        <f t="shared" si="18"/>
        <v/>
      </c>
      <c r="AG49" s="258" t="str">
        <f t="shared" si="19"/>
        <v/>
      </c>
      <c r="AH49" s="232" t="str">
        <f t="shared" si="20"/>
        <v/>
      </c>
      <c r="AI49" s="259">
        <f t="shared" si="21"/>
        <v>1610</v>
      </c>
      <c r="AJ49" s="260" t="str">
        <f t="shared" si="22"/>
        <v/>
      </c>
      <c r="AK49" s="261" t="str">
        <f t="shared" si="23"/>
        <v/>
      </c>
      <c r="AL49" s="429"/>
      <c r="AO49" s="78"/>
      <c r="AP49" s="78"/>
      <c r="AQ49" s="78"/>
      <c r="AR49" s="78"/>
      <c r="AS49" s="78"/>
      <c r="AT49" s="270"/>
    </row>
    <row r="50" spans="1:47" x14ac:dyDescent="0.25">
      <c r="A50" s="210">
        <v>0</v>
      </c>
      <c r="B50" s="241" t="s">
        <v>508</v>
      </c>
      <c r="C50" s="289" t="s">
        <v>509</v>
      </c>
      <c r="D50" s="243">
        <f t="shared" si="13"/>
        <v>14</v>
      </c>
      <c r="E50" s="294">
        <v>120.75</v>
      </c>
      <c r="F50" s="245">
        <f t="shared" si="0"/>
        <v>1690.5</v>
      </c>
      <c r="G50" s="246" t="s">
        <v>32</v>
      </c>
      <c r="H50" s="247"/>
      <c r="I50" s="218" t="str">
        <f t="shared" si="1"/>
        <v/>
      </c>
      <c r="J50" s="248">
        <v>14</v>
      </c>
      <c r="K50" s="249">
        <f t="shared" si="14"/>
        <v>1690.5</v>
      </c>
      <c r="L50" s="250"/>
      <c r="M50" s="249" t="str">
        <f t="shared" si="2"/>
        <v/>
      </c>
      <c r="N50" s="251"/>
      <c r="O50" s="249" t="str">
        <f t="shared" si="15"/>
        <v/>
      </c>
      <c r="P50" s="252"/>
      <c r="Q50" s="249" t="str">
        <f t="shared" si="3"/>
        <v/>
      </c>
      <c r="R50" s="266"/>
      <c r="S50" s="249" t="str">
        <f t="shared" si="4"/>
        <v/>
      </c>
      <c r="T50" s="254"/>
      <c r="U50" s="255" t="str">
        <f t="shared" si="5"/>
        <v/>
      </c>
      <c r="V50" s="228"/>
      <c r="W50" s="256" t="str">
        <f t="shared" si="6"/>
        <v/>
      </c>
      <c r="X50" s="257" t="str">
        <f t="shared" si="7"/>
        <v/>
      </c>
      <c r="Y50" s="258" t="str">
        <f t="shared" si="16"/>
        <v/>
      </c>
      <c r="Z50" s="232" t="str">
        <f t="shared" si="25"/>
        <v/>
      </c>
      <c r="AA50" s="256" t="str">
        <f t="shared" si="9"/>
        <v/>
      </c>
      <c r="AB50" s="257" t="str">
        <f t="shared" si="10"/>
        <v/>
      </c>
      <c r="AC50" s="258" t="str">
        <f t="shared" si="11"/>
        <v/>
      </c>
      <c r="AD50" s="232" t="str">
        <f t="shared" si="12"/>
        <v/>
      </c>
      <c r="AE50" s="256" t="str">
        <f t="shared" si="17"/>
        <v/>
      </c>
      <c r="AF50" s="257" t="str">
        <f t="shared" si="18"/>
        <v/>
      </c>
      <c r="AG50" s="258" t="str">
        <f t="shared" si="19"/>
        <v/>
      </c>
      <c r="AH50" s="232" t="str">
        <f t="shared" si="20"/>
        <v/>
      </c>
      <c r="AI50" s="259">
        <f t="shared" si="21"/>
        <v>1690.5</v>
      </c>
      <c r="AJ50" s="260" t="str">
        <f t="shared" si="22"/>
        <v/>
      </c>
      <c r="AK50" s="261" t="str">
        <f t="shared" si="23"/>
        <v/>
      </c>
      <c r="AL50" s="429"/>
      <c r="AO50" s="78"/>
      <c r="AP50" s="78"/>
      <c r="AQ50" s="78"/>
      <c r="AR50" s="78"/>
      <c r="AS50" s="78"/>
      <c r="AT50" s="270"/>
      <c r="AU50" s="292"/>
    </row>
    <row r="51" spans="1:47" x14ac:dyDescent="0.25">
      <c r="A51" s="210">
        <v>0</v>
      </c>
      <c r="B51" s="241" t="s">
        <v>516</v>
      </c>
      <c r="C51" s="289" t="s">
        <v>517</v>
      </c>
      <c r="D51" s="243">
        <f t="shared" si="13"/>
        <v>2</v>
      </c>
      <c r="E51" s="294">
        <v>920</v>
      </c>
      <c r="F51" s="245">
        <f t="shared" si="0"/>
        <v>1840</v>
      </c>
      <c r="G51" s="246" t="s">
        <v>32</v>
      </c>
      <c r="H51" s="247"/>
      <c r="I51" s="218" t="str">
        <f t="shared" si="1"/>
        <v/>
      </c>
      <c r="J51" s="248"/>
      <c r="K51" s="249" t="str">
        <f t="shared" si="14"/>
        <v/>
      </c>
      <c r="L51" s="266"/>
      <c r="M51" s="249" t="str">
        <f t="shared" si="2"/>
        <v/>
      </c>
      <c r="N51" s="251"/>
      <c r="O51" s="249" t="str">
        <f t="shared" si="15"/>
        <v/>
      </c>
      <c r="P51" s="293"/>
      <c r="Q51" s="249" t="str">
        <f t="shared" si="3"/>
        <v/>
      </c>
      <c r="R51" s="266">
        <v>2</v>
      </c>
      <c r="S51" s="249">
        <f t="shared" si="4"/>
        <v>1840</v>
      </c>
      <c r="T51" s="254"/>
      <c r="U51" s="255" t="str">
        <f t="shared" si="5"/>
        <v/>
      </c>
      <c r="V51" s="228"/>
      <c r="W51" s="256">
        <f t="shared" si="6"/>
        <v>1498.7491501469931</v>
      </c>
      <c r="X51" s="257">
        <f t="shared" si="7"/>
        <v>341.25084985300686</v>
      </c>
      <c r="Y51" s="258">
        <f t="shared" si="16"/>
        <v>0</v>
      </c>
      <c r="Z51" s="232" t="str">
        <f t="shared" si="25"/>
        <v/>
      </c>
      <c r="AA51" s="256" t="str">
        <f t="shared" si="9"/>
        <v/>
      </c>
      <c r="AB51" s="257" t="str">
        <f t="shared" si="10"/>
        <v/>
      </c>
      <c r="AC51" s="258" t="str">
        <f t="shared" si="11"/>
        <v/>
      </c>
      <c r="AD51" s="232" t="str">
        <f t="shared" si="12"/>
        <v/>
      </c>
      <c r="AE51" s="256" t="str">
        <f t="shared" si="17"/>
        <v/>
      </c>
      <c r="AF51" s="257" t="str">
        <f t="shared" si="18"/>
        <v/>
      </c>
      <c r="AG51" s="258" t="str">
        <f t="shared" si="19"/>
        <v/>
      </c>
      <c r="AH51" s="232" t="str">
        <f t="shared" si="20"/>
        <v/>
      </c>
      <c r="AI51" s="259">
        <f t="shared" si="21"/>
        <v>1498.7491501469931</v>
      </c>
      <c r="AJ51" s="260">
        <f t="shared" si="22"/>
        <v>341.25084985300686</v>
      </c>
      <c r="AK51" s="261" t="str">
        <f t="shared" si="23"/>
        <v/>
      </c>
      <c r="AL51" s="429"/>
      <c r="AN51" s="86"/>
      <c r="AO51" s="94"/>
      <c r="AP51" s="94"/>
      <c r="AQ51" s="94"/>
      <c r="AR51" s="94"/>
      <c r="AS51" s="94"/>
      <c r="AT51" s="284"/>
      <c r="AU51" s="292"/>
    </row>
    <row r="52" spans="1:47" x14ac:dyDescent="0.25">
      <c r="A52" s="210">
        <v>0</v>
      </c>
      <c r="B52" s="241" t="s">
        <v>518</v>
      </c>
      <c r="C52" s="289" t="s">
        <v>519</v>
      </c>
      <c r="D52" s="243">
        <f t="shared" si="13"/>
        <v>7</v>
      </c>
      <c r="E52" s="290">
        <v>85</v>
      </c>
      <c r="F52" s="245">
        <f t="shared" si="0"/>
        <v>595</v>
      </c>
      <c r="G52" s="246" t="s">
        <v>32</v>
      </c>
      <c r="H52" s="247"/>
      <c r="I52" s="218" t="str">
        <f t="shared" si="1"/>
        <v/>
      </c>
      <c r="J52" s="248"/>
      <c r="K52" s="249" t="str">
        <f t="shared" si="14"/>
        <v/>
      </c>
      <c r="L52" s="266"/>
      <c r="M52" s="249" t="str">
        <f t="shared" si="2"/>
        <v/>
      </c>
      <c r="N52" s="251"/>
      <c r="O52" s="249" t="str">
        <f t="shared" si="15"/>
        <v/>
      </c>
      <c r="P52" s="293"/>
      <c r="Q52" s="249" t="str">
        <f t="shared" si="3"/>
        <v/>
      </c>
      <c r="R52" s="266">
        <v>7</v>
      </c>
      <c r="S52" s="249">
        <f t="shared" si="4"/>
        <v>595</v>
      </c>
      <c r="T52" s="254"/>
      <c r="U52" s="255" t="str">
        <f t="shared" si="5"/>
        <v/>
      </c>
      <c r="V52" s="228"/>
      <c r="W52" s="256">
        <f t="shared" si="6"/>
        <v>484.64986105296788</v>
      </c>
      <c r="X52" s="257">
        <f t="shared" si="7"/>
        <v>110.35013894703211</v>
      </c>
      <c r="Y52" s="258">
        <f t="shared" si="16"/>
        <v>0</v>
      </c>
      <c r="Z52" s="232" t="str">
        <f t="shared" si="25"/>
        <v/>
      </c>
      <c r="AA52" s="256" t="str">
        <f t="shared" si="9"/>
        <v/>
      </c>
      <c r="AB52" s="257" t="str">
        <f t="shared" si="10"/>
        <v/>
      </c>
      <c r="AC52" s="258" t="str">
        <f t="shared" si="11"/>
        <v/>
      </c>
      <c r="AD52" s="232" t="str">
        <f t="shared" si="12"/>
        <v/>
      </c>
      <c r="AE52" s="256" t="str">
        <f t="shared" si="17"/>
        <v/>
      </c>
      <c r="AF52" s="257" t="str">
        <f t="shared" si="18"/>
        <v/>
      </c>
      <c r="AG52" s="258" t="str">
        <f t="shared" si="19"/>
        <v/>
      </c>
      <c r="AH52" s="232" t="str">
        <f t="shared" si="20"/>
        <v/>
      </c>
      <c r="AI52" s="259">
        <f t="shared" si="21"/>
        <v>484.64986105296788</v>
      </c>
      <c r="AJ52" s="260">
        <f t="shared" si="22"/>
        <v>110.35013894703211</v>
      </c>
      <c r="AK52" s="261" t="str">
        <f t="shared" si="23"/>
        <v/>
      </c>
      <c r="AL52" s="429"/>
      <c r="AN52" s="86"/>
      <c r="AO52" s="94"/>
      <c r="AP52" s="94"/>
      <c r="AQ52" s="94"/>
      <c r="AR52" s="94"/>
      <c r="AS52" s="94"/>
      <c r="AT52" s="284"/>
      <c r="AU52" s="292"/>
    </row>
    <row r="53" spans="1:47" x14ac:dyDescent="0.25">
      <c r="A53" s="210">
        <v>0</v>
      </c>
      <c r="B53" s="241" t="s">
        <v>520</v>
      </c>
      <c r="C53" s="289" t="s">
        <v>521</v>
      </c>
      <c r="D53" s="243">
        <f t="shared" si="13"/>
        <v>12</v>
      </c>
      <c r="E53" s="290">
        <v>280</v>
      </c>
      <c r="F53" s="245">
        <f t="shared" si="0"/>
        <v>3360</v>
      </c>
      <c r="G53" s="246" t="s">
        <v>32</v>
      </c>
      <c r="H53" s="247"/>
      <c r="I53" s="218" t="str">
        <f t="shared" si="1"/>
        <v/>
      </c>
      <c r="J53" s="248">
        <v>3</v>
      </c>
      <c r="K53" s="249">
        <f t="shared" si="14"/>
        <v>840</v>
      </c>
      <c r="L53" s="266">
        <v>3</v>
      </c>
      <c r="M53" s="249">
        <f t="shared" si="2"/>
        <v>840</v>
      </c>
      <c r="N53" s="251"/>
      <c r="O53" s="249" t="str">
        <f t="shared" si="15"/>
        <v/>
      </c>
      <c r="P53" s="293">
        <v>1</v>
      </c>
      <c r="Q53" s="249">
        <f t="shared" si="3"/>
        <v>280</v>
      </c>
      <c r="R53" s="264">
        <v>5</v>
      </c>
      <c r="S53" s="249">
        <f t="shared" si="4"/>
        <v>1400</v>
      </c>
      <c r="T53" s="254"/>
      <c r="U53" s="255" t="str">
        <f t="shared" si="5"/>
        <v/>
      </c>
      <c r="V53" s="228"/>
      <c r="W53" s="256">
        <f t="shared" si="6"/>
        <v>1140.3526142422775</v>
      </c>
      <c r="X53" s="257">
        <f t="shared" si="7"/>
        <v>259.64738575772259</v>
      </c>
      <c r="Y53" s="258">
        <f t="shared" si="16"/>
        <v>0</v>
      </c>
      <c r="Z53" s="232" t="str">
        <f t="shared" si="25"/>
        <v/>
      </c>
      <c r="AA53" s="256" t="str">
        <f t="shared" si="9"/>
        <v/>
      </c>
      <c r="AB53" s="257" t="str">
        <f t="shared" si="10"/>
        <v/>
      </c>
      <c r="AC53" s="258" t="str">
        <f t="shared" si="11"/>
        <v/>
      </c>
      <c r="AD53" s="232" t="str">
        <f t="shared" si="12"/>
        <v/>
      </c>
      <c r="AE53" s="256">
        <f t="shared" si="17"/>
        <v>210</v>
      </c>
      <c r="AF53" s="257">
        <f t="shared" si="18"/>
        <v>70</v>
      </c>
      <c r="AG53" s="258" t="str">
        <f t="shared" si="19"/>
        <v/>
      </c>
      <c r="AH53" s="232" t="str">
        <f t="shared" si="20"/>
        <v/>
      </c>
      <c r="AI53" s="259">
        <f t="shared" si="21"/>
        <v>2190.3526142422775</v>
      </c>
      <c r="AJ53" s="260">
        <f t="shared" si="22"/>
        <v>1169.6473857577225</v>
      </c>
      <c r="AK53" s="261" t="str">
        <f t="shared" si="23"/>
        <v/>
      </c>
      <c r="AL53" s="429"/>
      <c r="AN53" s="86"/>
      <c r="AO53" s="94"/>
      <c r="AP53" s="94"/>
      <c r="AQ53" s="94"/>
      <c r="AR53" s="94"/>
      <c r="AS53" s="94"/>
      <c r="AT53" s="284"/>
      <c r="AU53" s="292"/>
    </row>
    <row r="54" spans="1:47" x14ac:dyDescent="0.25">
      <c r="A54" s="210">
        <v>0</v>
      </c>
      <c r="B54" s="241" t="s">
        <v>522</v>
      </c>
      <c r="C54" s="289" t="s">
        <v>523</v>
      </c>
      <c r="D54" s="243">
        <f t="shared" si="13"/>
        <v>20</v>
      </c>
      <c r="E54" s="244">
        <v>621</v>
      </c>
      <c r="F54" s="245">
        <f t="shared" si="0"/>
        <v>12420</v>
      </c>
      <c r="G54" s="246" t="s">
        <v>32</v>
      </c>
      <c r="H54" s="247"/>
      <c r="I54" s="218" t="str">
        <f t="shared" si="1"/>
        <v/>
      </c>
      <c r="J54" s="248">
        <v>19</v>
      </c>
      <c r="K54" s="249">
        <f t="shared" si="14"/>
        <v>11799</v>
      </c>
      <c r="L54" s="266">
        <v>1</v>
      </c>
      <c r="M54" s="249">
        <f t="shared" si="2"/>
        <v>621</v>
      </c>
      <c r="N54" s="251"/>
      <c r="O54" s="249" t="str">
        <f t="shared" si="15"/>
        <v/>
      </c>
      <c r="P54" s="293"/>
      <c r="Q54" s="249" t="str">
        <f t="shared" si="3"/>
        <v/>
      </c>
      <c r="R54" s="266"/>
      <c r="S54" s="249" t="str">
        <f t="shared" si="4"/>
        <v/>
      </c>
      <c r="T54" s="254"/>
      <c r="U54" s="255" t="str">
        <f t="shared" si="5"/>
        <v/>
      </c>
      <c r="V54" s="228"/>
      <c r="W54" s="256" t="str">
        <f t="shared" si="6"/>
        <v/>
      </c>
      <c r="X54" s="257" t="str">
        <f t="shared" si="7"/>
        <v/>
      </c>
      <c r="Y54" s="258" t="str">
        <f t="shared" si="16"/>
        <v/>
      </c>
      <c r="Z54" s="232" t="str">
        <f t="shared" si="25"/>
        <v/>
      </c>
      <c r="AA54" s="256" t="str">
        <f t="shared" si="9"/>
        <v/>
      </c>
      <c r="AB54" s="257" t="str">
        <f t="shared" si="10"/>
        <v/>
      </c>
      <c r="AC54" s="258" t="str">
        <f t="shared" si="11"/>
        <v/>
      </c>
      <c r="AD54" s="232" t="str">
        <f t="shared" si="12"/>
        <v/>
      </c>
      <c r="AE54" s="256" t="str">
        <f t="shared" si="17"/>
        <v/>
      </c>
      <c r="AF54" s="257" t="str">
        <f t="shared" si="18"/>
        <v/>
      </c>
      <c r="AG54" s="258" t="str">
        <f t="shared" si="19"/>
        <v/>
      </c>
      <c r="AH54" s="232" t="str">
        <f t="shared" si="20"/>
        <v/>
      </c>
      <c r="AI54" s="259">
        <f t="shared" si="21"/>
        <v>11799</v>
      </c>
      <c r="AJ54" s="260">
        <f t="shared" si="22"/>
        <v>621</v>
      </c>
      <c r="AK54" s="261" t="str">
        <f t="shared" si="23"/>
        <v/>
      </c>
      <c r="AL54" s="429"/>
      <c r="AN54" s="86"/>
      <c r="AO54" s="94"/>
      <c r="AP54" s="94"/>
      <c r="AQ54" s="94"/>
      <c r="AR54" s="94"/>
      <c r="AS54" s="94"/>
      <c r="AT54" s="284"/>
      <c r="AU54" s="292"/>
    </row>
    <row r="55" spans="1:47" x14ac:dyDescent="0.25">
      <c r="A55" s="210">
        <v>0</v>
      </c>
      <c r="B55" s="271" t="s">
        <v>524</v>
      </c>
      <c r="C55" s="291" t="s">
        <v>525</v>
      </c>
      <c r="D55" s="243">
        <f t="shared" si="13"/>
        <v>5</v>
      </c>
      <c r="E55" s="273">
        <v>420</v>
      </c>
      <c r="F55" s="245">
        <f t="shared" si="0"/>
        <v>2100</v>
      </c>
      <c r="G55" s="274" t="s">
        <v>32</v>
      </c>
      <c r="H55" s="275"/>
      <c r="I55" s="276" t="str">
        <f t="shared" si="1"/>
        <v/>
      </c>
      <c r="J55" s="277">
        <v>3</v>
      </c>
      <c r="K55" s="249">
        <f t="shared" si="14"/>
        <v>1260</v>
      </c>
      <c r="L55" s="278"/>
      <c r="M55" s="249" t="str">
        <f t="shared" si="2"/>
        <v/>
      </c>
      <c r="N55" s="279"/>
      <c r="O55" s="249" t="str">
        <f t="shared" si="15"/>
        <v/>
      </c>
      <c r="P55" s="296">
        <v>2</v>
      </c>
      <c r="Q55" s="249">
        <f t="shared" si="3"/>
        <v>840</v>
      </c>
      <c r="R55" s="278"/>
      <c r="S55" s="249" t="str">
        <f t="shared" si="4"/>
        <v/>
      </c>
      <c r="T55" s="281"/>
      <c r="U55" s="255" t="str">
        <f t="shared" si="5"/>
        <v/>
      </c>
      <c r="V55" s="282"/>
      <c r="W55" s="256" t="str">
        <f t="shared" si="6"/>
        <v/>
      </c>
      <c r="X55" s="257" t="str">
        <f t="shared" si="7"/>
        <v/>
      </c>
      <c r="Y55" s="258" t="str">
        <f t="shared" si="16"/>
        <v/>
      </c>
      <c r="Z55" s="283" t="str">
        <f t="shared" si="25"/>
        <v/>
      </c>
      <c r="AA55" s="256" t="str">
        <f t="shared" si="9"/>
        <v/>
      </c>
      <c r="AB55" s="257" t="str">
        <f t="shared" si="10"/>
        <v/>
      </c>
      <c r="AC55" s="258" t="str">
        <f t="shared" si="11"/>
        <v/>
      </c>
      <c r="AD55" s="283" t="str">
        <f t="shared" si="12"/>
        <v/>
      </c>
      <c r="AE55" s="256">
        <f t="shared" si="17"/>
        <v>630</v>
      </c>
      <c r="AF55" s="257">
        <f t="shared" si="18"/>
        <v>210</v>
      </c>
      <c r="AG55" s="258" t="str">
        <f t="shared" si="19"/>
        <v/>
      </c>
      <c r="AH55" s="283" t="str">
        <f t="shared" si="20"/>
        <v/>
      </c>
      <c r="AI55" s="259">
        <f t="shared" si="21"/>
        <v>1890</v>
      </c>
      <c r="AJ55" s="260">
        <f t="shared" si="22"/>
        <v>210</v>
      </c>
      <c r="AK55" s="261" t="str">
        <f t="shared" si="23"/>
        <v/>
      </c>
      <c r="AL55" s="429"/>
      <c r="AN55" s="86"/>
      <c r="AO55" s="94"/>
      <c r="AP55" s="94"/>
      <c r="AQ55" s="94"/>
      <c r="AR55" s="94"/>
      <c r="AS55" s="94"/>
      <c r="AT55" s="284"/>
      <c r="AU55" s="292"/>
    </row>
    <row r="56" spans="1:47" x14ac:dyDescent="0.25">
      <c r="A56" s="210">
        <v>0</v>
      </c>
      <c r="B56" s="271" t="s">
        <v>526</v>
      </c>
      <c r="C56" s="291" t="s">
        <v>527</v>
      </c>
      <c r="D56" s="243">
        <f t="shared" si="13"/>
        <v>1</v>
      </c>
      <c r="E56" s="273">
        <v>420</v>
      </c>
      <c r="F56" s="245">
        <f t="shared" si="0"/>
        <v>420</v>
      </c>
      <c r="G56" s="274" t="s">
        <v>32</v>
      </c>
      <c r="H56" s="275"/>
      <c r="I56" s="276" t="str">
        <f t="shared" si="1"/>
        <v/>
      </c>
      <c r="J56" s="277"/>
      <c r="K56" s="249" t="str">
        <f t="shared" si="14"/>
        <v/>
      </c>
      <c r="L56" s="278"/>
      <c r="M56" s="249" t="str">
        <f t="shared" si="2"/>
        <v/>
      </c>
      <c r="N56" s="279"/>
      <c r="O56" s="249" t="str">
        <f t="shared" si="15"/>
        <v/>
      </c>
      <c r="P56" s="280"/>
      <c r="Q56" s="249" t="str">
        <f t="shared" si="3"/>
        <v/>
      </c>
      <c r="R56" s="278">
        <v>1</v>
      </c>
      <c r="S56" s="249">
        <f t="shared" si="4"/>
        <v>420</v>
      </c>
      <c r="T56" s="281"/>
      <c r="U56" s="255" t="str">
        <f t="shared" si="5"/>
        <v/>
      </c>
      <c r="V56" s="282"/>
      <c r="W56" s="256">
        <f t="shared" si="6"/>
        <v>342.1057842726832</v>
      </c>
      <c r="X56" s="257">
        <f t="shared" si="7"/>
        <v>77.894215727316791</v>
      </c>
      <c r="Y56" s="258">
        <f t="shared" si="16"/>
        <v>0</v>
      </c>
      <c r="Z56" s="283" t="str">
        <f t="shared" si="25"/>
        <v/>
      </c>
      <c r="AA56" s="256" t="str">
        <f t="shared" si="9"/>
        <v/>
      </c>
      <c r="AB56" s="257" t="str">
        <f t="shared" si="10"/>
        <v/>
      </c>
      <c r="AC56" s="258" t="str">
        <f t="shared" si="11"/>
        <v/>
      </c>
      <c r="AD56" s="283" t="str">
        <f t="shared" si="12"/>
        <v/>
      </c>
      <c r="AE56" s="256" t="str">
        <f t="shared" si="17"/>
        <v/>
      </c>
      <c r="AF56" s="257" t="str">
        <f t="shared" si="18"/>
        <v/>
      </c>
      <c r="AG56" s="258" t="str">
        <f t="shared" si="19"/>
        <v/>
      </c>
      <c r="AH56" s="283" t="str">
        <f t="shared" si="20"/>
        <v/>
      </c>
      <c r="AI56" s="259">
        <f t="shared" si="21"/>
        <v>342.1057842726832</v>
      </c>
      <c r="AJ56" s="260">
        <f t="shared" si="22"/>
        <v>77.894215727316791</v>
      </c>
      <c r="AK56" s="261" t="str">
        <f t="shared" si="23"/>
        <v/>
      </c>
      <c r="AL56" s="429"/>
      <c r="AN56" s="86"/>
      <c r="AO56" s="94"/>
      <c r="AP56" s="94"/>
      <c r="AQ56" s="94"/>
      <c r="AR56" s="94"/>
      <c r="AS56" s="94"/>
      <c r="AT56" s="284"/>
    </row>
    <row r="57" spans="1:47" x14ac:dyDescent="0.25">
      <c r="A57" s="210">
        <v>0</v>
      </c>
      <c r="B57" s="271" t="s">
        <v>528</v>
      </c>
      <c r="C57" s="291" t="s">
        <v>529</v>
      </c>
      <c r="D57" s="243">
        <f t="shared" si="13"/>
        <v>1</v>
      </c>
      <c r="E57" s="273">
        <v>560</v>
      </c>
      <c r="F57" s="245">
        <f t="shared" si="0"/>
        <v>560</v>
      </c>
      <c r="G57" s="274" t="s">
        <v>32</v>
      </c>
      <c r="H57" s="275"/>
      <c r="I57" s="276" t="str">
        <f t="shared" si="1"/>
        <v/>
      </c>
      <c r="J57" s="277"/>
      <c r="K57" s="249" t="str">
        <f t="shared" si="14"/>
        <v/>
      </c>
      <c r="L57" s="278"/>
      <c r="M57" s="249" t="str">
        <f t="shared" si="2"/>
        <v/>
      </c>
      <c r="N57" s="279"/>
      <c r="O57" s="249" t="str">
        <f t="shared" si="15"/>
        <v/>
      </c>
      <c r="P57" s="280"/>
      <c r="Q57" s="249" t="str">
        <f t="shared" si="3"/>
        <v/>
      </c>
      <c r="R57" s="278">
        <v>1</v>
      </c>
      <c r="S57" s="249">
        <f t="shared" si="4"/>
        <v>560</v>
      </c>
      <c r="T57" s="281"/>
      <c r="U57" s="255" t="str">
        <f t="shared" si="5"/>
        <v/>
      </c>
      <c r="V57" s="282"/>
      <c r="W57" s="256">
        <f t="shared" si="6"/>
        <v>456.14104569691096</v>
      </c>
      <c r="X57" s="257">
        <f t="shared" si="7"/>
        <v>103.85895430308905</v>
      </c>
      <c r="Y57" s="258">
        <f t="shared" si="16"/>
        <v>0</v>
      </c>
      <c r="Z57" s="283" t="str">
        <f t="shared" si="25"/>
        <v/>
      </c>
      <c r="AA57" s="256" t="str">
        <f t="shared" si="9"/>
        <v/>
      </c>
      <c r="AB57" s="257" t="str">
        <f t="shared" si="10"/>
        <v/>
      </c>
      <c r="AC57" s="258" t="str">
        <f t="shared" si="11"/>
        <v/>
      </c>
      <c r="AD57" s="283" t="str">
        <f t="shared" si="12"/>
        <v/>
      </c>
      <c r="AE57" s="256" t="str">
        <f t="shared" si="17"/>
        <v/>
      </c>
      <c r="AF57" s="257" t="str">
        <f t="shared" si="18"/>
        <v/>
      </c>
      <c r="AG57" s="258" t="str">
        <f t="shared" si="19"/>
        <v/>
      </c>
      <c r="AH57" s="283" t="str">
        <f t="shared" si="20"/>
        <v/>
      </c>
      <c r="AI57" s="259">
        <f t="shared" si="21"/>
        <v>456.14104569691096</v>
      </c>
      <c r="AJ57" s="260">
        <f t="shared" si="22"/>
        <v>103.85895430308905</v>
      </c>
      <c r="AK57" s="261" t="str">
        <f t="shared" si="23"/>
        <v/>
      </c>
      <c r="AL57" s="429"/>
      <c r="AN57" s="86"/>
      <c r="AO57" s="94"/>
      <c r="AP57" s="94"/>
      <c r="AQ57" s="94"/>
      <c r="AR57" s="94"/>
      <c r="AS57" s="94"/>
      <c r="AT57" s="284"/>
    </row>
    <row r="58" spans="1:47" x14ac:dyDescent="0.25">
      <c r="A58" s="210">
        <v>0</v>
      </c>
      <c r="B58" s="271" t="s">
        <v>530</v>
      </c>
      <c r="C58" s="291" t="s">
        <v>531</v>
      </c>
      <c r="D58" s="243">
        <f t="shared" si="13"/>
        <v>1</v>
      </c>
      <c r="E58" s="273">
        <v>840</v>
      </c>
      <c r="F58" s="245">
        <f t="shared" si="0"/>
        <v>840</v>
      </c>
      <c r="G58" s="274" t="s">
        <v>32</v>
      </c>
      <c r="H58" s="275"/>
      <c r="I58" s="276" t="str">
        <f t="shared" si="1"/>
        <v/>
      </c>
      <c r="J58" s="277"/>
      <c r="K58" s="249" t="str">
        <f t="shared" si="14"/>
        <v/>
      </c>
      <c r="L58" s="278">
        <v>1</v>
      </c>
      <c r="M58" s="249">
        <f t="shared" si="2"/>
        <v>840</v>
      </c>
      <c r="N58" s="279"/>
      <c r="O58" s="249" t="str">
        <f t="shared" si="15"/>
        <v/>
      </c>
      <c r="P58" s="280"/>
      <c r="Q58" s="249" t="str">
        <f t="shared" si="3"/>
        <v/>
      </c>
      <c r="R58" s="278"/>
      <c r="S58" s="249" t="str">
        <f t="shared" si="4"/>
        <v/>
      </c>
      <c r="T58" s="281"/>
      <c r="U58" s="255" t="str">
        <f t="shared" si="5"/>
        <v/>
      </c>
      <c r="V58" s="282"/>
      <c r="W58" s="256" t="str">
        <f t="shared" si="6"/>
        <v/>
      </c>
      <c r="X58" s="257" t="str">
        <f t="shared" si="7"/>
        <v/>
      </c>
      <c r="Y58" s="258" t="str">
        <f t="shared" si="16"/>
        <v/>
      </c>
      <c r="Z58" s="283" t="str">
        <f t="shared" si="25"/>
        <v/>
      </c>
      <c r="AA58" s="256" t="str">
        <f t="shared" si="9"/>
        <v/>
      </c>
      <c r="AB58" s="257" t="str">
        <f t="shared" si="10"/>
        <v/>
      </c>
      <c r="AC58" s="258" t="str">
        <f t="shared" si="11"/>
        <v/>
      </c>
      <c r="AD58" s="283" t="str">
        <f t="shared" si="12"/>
        <v/>
      </c>
      <c r="AE58" s="256" t="str">
        <f t="shared" si="17"/>
        <v/>
      </c>
      <c r="AF58" s="257" t="str">
        <f t="shared" si="18"/>
        <v/>
      </c>
      <c r="AG58" s="258" t="str">
        <f t="shared" si="19"/>
        <v/>
      </c>
      <c r="AH58" s="283" t="str">
        <f t="shared" si="20"/>
        <v/>
      </c>
      <c r="AI58" s="259" t="str">
        <f t="shared" si="21"/>
        <v/>
      </c>
      <c r="AJ58" s="260">
        <f t="shared" si="22"/>
        <v>840</v>
      </c>
      <c r="AK58" s="261" t="str">
        <f t="shared" si="23"/>
        <v/>
      </c>
      <c r="AL58" s="429"/>
      <c r="AN58" s="86"/>
      <c r="AO58" s="94"/>
      <c r="AP58" s="94"/>
      <c r="AQ58" s="94"/>
      <c r="AR58" s="94"/>
      <c r="AS58" s="94"/>
      <c r="AT58" s="284"/>
    </row>
    <row r="59" spans="1:47" x14ac:dyDescent="0.25">
      <c r="A59" s="210">
        <v>0</v>
      </c>
      <c r="B59" s="241" t="s">
        <v>532</v>
      </c>
      <c r="C59" s="289" t="s">
        <v>525</v>
      </c>
      <c r="D59" s="243">
        <f t="shared" si="13"/>
        <v>3</v>
      </c>
      <c r="E59" s="290">
        <v>640</v>
      </c>
      <c r="F59" s="245">
        <f t="shared" si="0"/>
        <v>1920</v>
      </c>
      <c r="G59" s="246" t="s">
        <v>32</v>
      </c>
      <c r="H59" s="247"/>
      <c r="I59" s="218" t="str">
        <f t="shared" si="1"/>
        <v/>
      </c>
      <c r="J59" s="248">
        <v>3</v>
      </c>
      <c r="K59" s="249">
        <f t="shared" si="14"/>
        <v>1920</v>
      </c>
      <c r="L59" s="266"/>
      <c r="M59" s="249" t="str">
        <f t="shared" si="2"/>
        <v/>
      </c>
      <c r="N59" s="251"/>
      <c r="O59" s="249" t="str">
        <f t="shared" si="15"/>
        <v/>
      </c>
      <c r="P59" s="252"/>
      <c r="Q59" s="249" t="str">
        <f t="shared" si="3"/>
        <v/>
      </c>
      <c r="R59" s="266"/>
      <c r="S59" s="249" t="str">
        <f t="shared" si="4"/>
        <v/>
      </c>
      <c r="T59" s="254"/>
      <c r="U59" s="255" t="str">
        <f t="shared" si="5"/>
        <v/>
      </c>
      <c r="V59" s="228"/>
      <c r="W59" s="256" t="str">
        <f t="shared" si="6"/>
        <v/>
      </c>
      <c r="X59" s="257" t="str">
        <f t="shared" si="7"/>
        <v/>
      </c>
      <c r="Y59" s="258" t="str">
        <f t="shared" si="16"/>
        <v/>
      </c>
      <c r="Z59" s="232" t="str">
        <f t="shared" si="25"/>
        <v/>
      </c>
      <c r="AA59" s="256" t="str">
        <f t="shared" si="9"/>
        <v/>
      </c>
      <c r="AB59" s="257" t="str">
        <f t="shared" si="10"/>
        <v/>
      </c>
      <c r="AC59" s="258" t="str">
        <f t="shared" si="11"/>
        <v/>
      </c>
      <c r="AD59" s="232" t="str">
        <f t="shared" si="12"/>
        <v/>
      </c>
      <c r="AE59" s="256" t="str">
        <f t="shared" si="17"/>
        <v/>
      </c>
      <c r="AF59" s="257" t="str">
        <f t="shared" si="18"/>
        <v/>
      </c>
      <c r="AG59" s="258" t="str">
        <f t="shared" si="19"/>
        <v/>
      </c>
      <c r="AH59" s="232" t="str">
        <f t="shared" si="20"/>
        <v/>
      </c>
      <c r="AI59" s="259">
        <f t="shared" si="21"/>
        <v>1920</v>
      </c>
      <c r="AJ59" s="260" t="str">
        <f t="shared" si="22"/>
        <v/>
      </c>
      <c r="AK59" s="261" t="str">
        <f t="shared" si="23"/>
        <v/>
      </c>
      <c r="AL59" s="429"/>
      <c r="AN59" s="96"/>
      <c r="AO59" s="101"/>
      <c r="AP59" s="101"/>
      <c r="AQ59" s="101"/>
      <c r="AR59" s="101"/>
      <c r="AS59" s="101"/>
      <c r="AT59" s="287"/>
    </row>
    <row r="60" spans="1:47" x14ac:dyDescent="0.25">
      <c r="A60" s="210">
        <v>0</v>
      </c>
      <c r="B60" s="241" t="s">
        <v>533</v>
      </c>
      <c r="C60" s="289" t="s">
        <v>534</v>
      </c>
      <c r="D60" s="243">
        <f t="shared" si="13"/>
        <v>111</v>
      </c>
      <c r="E60" s="244">
        <v>120.75</v>
      </c>
      <c r="F60" s="245">
        <f t="shared" si="0"/>
        <v>13403.25</v>
      </c>
      <c r="G60" s="246" t="s">
        <v>32</v>
      </c>
      <c r="H60" s="247"/>
      <c r="I60" s="218" t="str">
        <f t="shared" si="1"/>
        <v/>
      </c>
      <c r="J60" s="248">
        <v>50</v>
      </c>
      <c r="K60" s="249">
        <f t="shared" si="14"/>
        <v>6037.5</v>
      </c>
      <c r="L60" s="266">
        <v>20</v>
      </c>
      <c r="M60" s="249">
        <f t="shared" si="2"/>
        <v>2415</v>
      </c>
      <c r="N60" s="251"/>
      <c r="O60" s="249" t="str">
        <f t="shared" si="15"/>
        <v/>
      </c>
      <c r="P60" s="293">
        <v>41</v>
      </c>
      <c r="Q60" s="249">
        <f t="shared" si="3"/>
        <v>4950.75</v>
      </c>
      <c r="R60" s="266"/>
      <c r="S60" s="249" t="str">
        <f t="shared" si="4"/>
        <v/>
      </c>
      <c r="T60" s="254"/>
      <c r="U60" s="255" t="str">
        <f t="shared" si="5"/>
        <v/>
      </c>
      <c r="V60" s="228"/>
      <c r="W60" s="256" t="str">
        <f t="shared" si="6"/>
        <v/>
      </c>
      <c r="X60" s="257" t="str">
        <f t="shared" si="7"/>
        <v/>
      </c>
      <c r="Y60" s="258" t="str">
        <f t="shared" si="16"/>
        <v/>
      </c>
      <c r="Z60" s="232" t="str">
        <f t="shared" si="25"/>
        <v/>
      </c>
      <c r="AA60" s="256" t="str">
        <f t="shared" si="9"/>
        <v/>
      </c>
      <c r="AB60" s="257" t="str">
        <f t="shared" si="10"/>
        <v/>
      </c>
      <c r="AC60" s="258" t="str">
        <f t="shared" si="11"/>
        <v/>
      </c>
      <c r="AD60" s="232" t="str">
        <f t="shared" si="12"/>
        <v/>
      </c>
      <c r="AE60" s="256">
        <f t="shared" si="17"/>
        <v>3713.0625</v>
      </c>
      <c r="AF60" s="257">
        <f t="shared" si="18"/>
        <v>1237.6875</v>
      </c>
      <c r="AG60" s="258" t="str">
        <f t="shared" si="19"/>
        <v/>
      </c>
      <c r="AH60" s="232" t="str">
        <f t="shared" si="20"/>
        <v/>
      </c>
      <c r="AI60" s="259">
        <f t="shared" si="21"/>
        <v>9750.5625</v>
      </c>
      <c r="AJ60" s="260">
        <f t="shared" si="22"/>
        <v>3652.6875</v>
      </c>
      <c r="AK60" s="261" t="str">
        <f t="shared" si="23"/>
        <v/>
      </c>
      <c r="AL60" s="429"/>
      <c r="AN60" s="96"/>
      <c r="AO60" s="101"/>
      <c r="AP60" s="101"/>
      <c r="AQ60" s="101"/>
      <c r="AR60" s="101"/>
      <c r="AS60" s="101"/>
      <c r="AT60" s="287"/>
    </row>
    <row r="61" spans="1:47" x14ac:dyDescent="0.25">
      <c r="A61" s="210">
        <v>0</v>
      </c>
      <c r="B61" s="241" t="s">
        <v>535</v>
      </c>
      <c r="C61" s="289" t="s">
        <v>536</v>
      </c>
      <c r="D61" s="243">
        <f t="shared" si="13"/>
        <v>42</v>
      </c>
      <c r="E61" s="244">
        <v>494.5</v>
      </c>
      <c r="F61" s="245">
        <f t="shared" si="0"/>
        <v>20769</v>
      </c>
      <c r="G61" s="246" t="s">
        <v>32</v>
      </c>
      <c r="H61" s="247"/>
      <c r="I61" s="218" t="str">
        <f t="shared" si="1"/>
        <v/>
      </c>
      <c r="J61" s="248">
        <v>12</v>
      </c>
      <c r="K61" s="249">
        <f t="shared" si="14"/>
        <v>5934</v>
      </c>
      <c r="L61" s="266">
        <v>20</v>
      </c>
      <c r="M61" s="249">
        <f t="shared" si="2"/>
        <v>9890</v>
      </c>
      <c r="N61" s="251"/>
      <c r="O61" s="249" t="str">
        <f t="shared" si="15"/>
        <v/>
      </c>
      <c r="P61" s="252"/>
      <c r="Q61" s="249" t="str">
        <f t="shared" si="3"/>
        <v/>
      </c>
      <c r="R61" s="266">
        <v>4</v>
      </c>
      <c r="S61" s="249">
        <f t="shared" si="4"/>
        <v>1978</v>
      </c>
      <c r="T61" s="254">
        <v>6</v>
      </c>
      <c r="U61" s="255">
        <f t="shared" si="5"/>
        <v>2967</v>
      </c>
      <c r="V61" s="228"/>
      <c r="W61" s="256">
        <f t="shared" si="6"/>
        <v>1611.1553364080175</v>
      </c>
      <c r="X61" s="257">
        <f t="shared" si="7"/>
        <v>366.8446635919824</v>
      </c>
      <c r="Y61" s="258">
        <f t="shared" si="16"/>
        <v>0</v>
      </c>
      <c r="Z61" s="232" t="str">
        <f t="shared" si="25"/>
        <v/>
      </c>
      <c r="AA61" s="256">
        <f t="shared" si="9"/>
        <v>2967</v>
      </c>
      <c r="AB61" s="257" t="str">
        <f t="shared" si="10"/>
        <v/>
      </c>
      <c r="AC61" s="258" t="str">
        <f t="shared" si="11"/>
        <v/>
      </c>
      <c r="AD61" s="232" t="str">
        <f t="shared" si="12"/>
        <v/>
      </c>
      <c r="AE61" s="256" t="str">
        <f t="shared" si="17"/>
        <v/>
      </c>
      <c r="AF61" s="257" t="str">
        <f t="shared" si="18"/>
        <v/>
      </c>
      <c r="AG61" s="258" t="str">
        <f t="shared" si="19"/>
        <v/>
      </c>
      <c r="AH61" s="232" t="str">
        <f t="shared" si="20"/>
        <v/>
      </c>
      <c r="AI61" s="259">
        <f t="shared" si="21"/>
        <v>10512.155336408017</v>
      </c>
      <c r="AJ61" s="260">
        <f t="shared" si="22"/>
        <v>10256.844663591983</v>
      </c>
      <c r="AK61" s="261" t="str">
        <f t="shared" si="23"/>
        <v/>
      </c>
      <c r="AL61" s="429"/>
      <c r="AN61" s="86"/>
      <c r="AO61" s="94"/>
      <c r="AP61" s="94"/>
      <c r="AQ61" s="94"/>
      <c r="AR61" s="94"/>
      <c r="AS61" s="94"/>
      <c r="AT61" s="284"/>
    </row>
    <row r="62" spans="1:47" x14ac:dyDescent="0.25">
      <c r="A62" s="210">
        <v>0</v>
      </c>
      <c r="B62" s="241" t="s">
        <v>537</v>
      </c>
      <c r="C62" s="289" t="s">
        <v>538</v>
      </c>
      <c r="D62" s="243">
        <f t="shared" si="13"/>
        <v>19</v>
      </c>
      <c r="E62" s="244">
        <v>437</v>
      </c>
      <c r="F62" s="245">
        <f t="shared" si="0"/>
        <v>8303</v>
      </c>
      <c r="G62" s="246" t="s">
        <v>32</v>
      </c>
      <c r="H62" s="247"/>
      <c r="I62" s="218" t="str">
        <f t="shared" si="1"/>
        <v/>
      </c>
      <c r="J62" s="248">
        <v>17</v>
      </c>
      <c r="K62" s="249">
        <f t="shared" si="14"/>
        <v>7429</v>
      </c>
      <c r="L62" s="266"/>
      <c r="M62" s="249" t="str">
        <f t="shared" si="2"/>
        <v/>
      </c>
      <c r="N62" s="251"/>
      <c r="O62" s="249" t="str">
        <f t="shared" si="15"/>
        <v/>
      </c>
      <c r="P62" s="252"/>
      <c r="Q62" s="249" t="str">
        <f t="shared" si="3"/>
        <v/>
      </c>
      <c r="R62" s="266">
        <v>2</v>
      </c>
      <c r="S62" s="249">
        <f t="shared" si="4"/>
        <v>874</v>
      </c>
      <c r="T62" s="254"/>
      <c r="U62" s="255" t="str">
        <f t="shared" si="5"/>
        <v/>
      </c>
      <c r="V62" s="228"/>
      <c r="W62" s="256">
        <f t="shared" si="6"/>
        <v>711.90584631982176</v>
      </c>
      <c r="X62" s="257">
        <f t="shared" si="7"/>
        <v>162.09415368017827</v>
      </c>
      <c r="Y62" s="258">
        <f t="shared" si="16"/>
        <v>0</v>
      </c>
      <c r="Z62" s="232" t="str">
        <f t="shared" si="25"/>
        <v/>
      </c>
      <c r="AA62" s="256" t="str">
        <f t="shared" si="9"/>
        <v/>
      </c>
      <c r="AB62" s="257" t="str">
        <f t="shared" si="10"/>
        <v/>
      </c>
      <c r="AC62" s="258" t="str">
        <f t="shared" si="11"/>
        <v/>
      </c>
      <c r="AD62" s="232" t="str">
        <f t="shared" si="12"/>
        <v/>
      </c>
      <c r="AE62" s="256" t="str">
        <f t="shared" si="17"/>
        <v/>
      </c>
      <c r="AF62" s="257" t="str">
        <f t="shared" si="18"/>
        <v/>
      </c>
      <c r="AG62" s="258" t="str">
        <f t="shared" si="19"/>
        <v/>
      </c>
      <c r="AH62" s="232" t="str">
        <f t="shared" si="20"/>
        <v/>
      </c>
      <c r="AI62" s="259">
        <f t="shared" si="21"/>
        <v>8140.9058463198216</v>
      </c>
      <c r="AJ62" s="260">
        <f t="shared" si="22"/>
        <v>162.09415368017827</v>
      </c>
      <c r="AK62" s="261" t="str">
        <f t="shared" si="23"/>
        <v/>
      </c>
      <c r="AL62" s="429"/>
      <c r="AN62" s="86"/>
      <c r="AO62" s="94"/>
      <c r="AP62" s="94"/>
      <c r="AQ62" s="94"/>
      <c r="AR62" s="94"/>
      <c r="AS62" s="94"/>
      <c r="AT62" s="284"/>
    </row>
    <row r="63" spans="1:47" x14ac:dyDescent="0.25">
      <c r="A63" s="210">
        <v>0</v>
      </c>
      <c r="B63" s="241" t="s">
        <v>539</v>
      </c>
      <c r="C63" s="289" t="s">
        <v>540</v>
      </c>
      <c r="D63" s="243">
        <f t="shared" si="13"/>
        <v>6</v>
      </c>
      <c r="E63" s="244">
        <v>874</v>
      </c>
      <c r="F63" s="245">
        <f t="shared" si="0"/>
        <v>5244</v>
      </c>
      <c r="G63" s="246" t="s">
        <v>32</v>
      </c>
      <c r="H63" s="247"/>
      <c r="I63" s="218" t="str">
        <f t="shared" si="1"/>
        <v/>
      </c>
      <c r="J63" s="248">
        <v>2</v>
      </c>
      <c r="K63" s="249">
        <f t="shared" si="14"/>
        <v>1748</v>
      </c>
      <c r="L63" s="295"/>
      <c r="M63" s="249" t="str">
        <f t="shared" si="2"/>
        <v/>
      </c>
      <c r="N63" s="251"/>
      <c r="O63" s="249" t="str">
        <f t="shared" si="15"/>
        <v/>
      </c>
      <c r="P63" s="252"/>
      <c r="Q63" s="249" t="str">
        <f t="shared" si="3"/>
        <v/>
      </c>
      <c r="R63" s="266"/>
      <c r="S63" s="249" t="str">
        <f t="shared" si="4"/>
        <v/>
      </c>
      <c r="T63" s="254">
        <v>4</v>
      </c>
      <c r="U63" s="255">
        <f t="shared" si="5"/>
        <v>3496</v>
      </c>
      <c r="V63" s="228"/>
      <c r="W63" s="256" t="str">
        <f t="shared" si="6"/>
        <v/>
      </c>
      <c r="X63" s="257" t="str">
        <f t="shared" si="7"/>
        <v/>
      </c>
      <c r="Y63" s="258" t="str">
        <f t="shared" si="16"/>
        <v/>
      </c>
      <c r="Z63" s="232" t="str">
        <f t="shared" si="25"/>
        <v/>
      </c>
      <c r="AA63" s="256">
        <f t="shared" si="9"/>
        <v>3496</v>
      </c>
      <c r="AB63" s="257" t="str">
        <f t="shared" si="10"/>
        <v/>
      </c>
      <c r="AC63" s="258" t="str">
        <f t="shared" si="11"/>
        <v/>
      </c>
      <c r="AD63" s="232" t="str">
        <f t="shared" si="12"/>
        <v/>
      </c>
      <c r="AE63" s="256" t="str">
        <f t="shared" si="17"/>
        <v/>
      </c>
      <c r="AF63" s="257" t="str">
        <f t="shared" si="18"/>
        <v/>
      </c>
      <c r="AG63" s="258" t="str">
        <f t="shared" si="19"/>
        <v/>
      </c>
      <c r="AH63" s="232" t="str">
        <f t="shared" si="20"/>
        <v/>
      </c>
      <c r="AI63" s="259">
        <f t="shared" si="21"/>
        <v>5244</v>
      </c>
      <c r="AJ63" s="260" t="str">
        <f t="shared" si="22"/>
        <v/>
      </c>
      <c r="AK63" s="261" t="str">
        <f t="shared" si="23"/>
        <v/>
      </c>
      <c r="AL63" s="429"/>
      <c r="AS63" s="78"/>
      <c r="AT63" s="270"/>
    </row>
    <row r="64" spans="1:47" x14ac:dyDescent="0.25">
      <c r="A64" s="210">
        <v>0</v>
      </c>
      <c r="B64" s="241" t="s">
        <v>541</v>
      </c>
      <c r="C64" s="289" t="s">
        <v>542</v>
      </c>
      <c r="D64" s="243">
        <f t="shared" si="13"/>
        <v>8</v>
      </c>
      <c r="E64" s="244">
        <v>410</v>
      </c>
      <c r="F64" s="245">
        <f t="shared" si="0"/>
        <v>3280</v>
      </c>
      <c r="G64" s="246" t="s">
        <v>32</v>
      </c>
      <c r="H64" s="247"/>
      <c r="I64" s="218" t="str">
        <f t="shared" si="1"/>
        <v/>
      </c>
      <c r="J64" s="248">
        <v>8</v>
      </c>
      <c r="K64" s="249">
        <f t="shared" si="14"/>
        <v>3280</v>
      </c>
      <c r="L64" s="295"/>
      <c r="M64" s="249" t="str">
        <f t="shared" si="2"/>
        <v/>
      </c>
      <c r="N64" s="251"/>
      <c r="O64" s="249" t="str">
        <f t="shared" si="15"/>
        <v/>
      </c>
      <c r="P64" s="252"/>
      <c r="Q64" s="249" t="str">
        <f t="shared" si="3"/>
        <v/>
      </c>
      <c r="R64" s="266"/>
      <c r="S64" s="249" t="str">
        <f t="shared" si="4"/>
        <v/>
      </c>
      <c r="T64" s="254"/>
      <c r="U64" s="255" t="str">
        <f t="shared" si="5"/>
        <v/>
      </c>
      <c r="V64" s="228"/>
      <c r="W64" s="256" t="str">
        <f t="shared" si="6"/>
        <v/>
      </c>
      <c r="X64" s="257" t="str">
        <f t="shared" si="7"/>
        <v/>
      </c>
      <c r="Y64" s="258" t="str">
        <f t="shared" si="16"/>
        <v/>
      </c>
      <c r="Z64" s="232" t="str">
        <f t="shared" si="25"/>
        <v/>
      </c>
      <c r="AA64" s="256" t="str">
        <f t="shared" si="9"/>
        <v/>
      </c>
      <c r="AB64" s="257" t="str">
        <f t="shared" si="10"/>
        <v/>
      </c>
      <c r="AC64" s="258" t="str">
        <f t="shared" si="11"/>
        <v/>
      </c>
      <c r="AD64" s="232" t="str">
        <f t="shared" si="12"/>
        <v/>
      </c>
      <c r="AE64" s="256" t="str">
        <f t="shared" si="17"/>
        <v/>
      </c>
      <c r="AF64" s="257" t="str">
        <f t="shared" si="18"/>
        <v/>
      </c>
      <c r="AG64" s="258" t="str">
        <f t="shared" si="19"/>
        <v/>
      </c>
      <c r="AH64" s="232" t="str">
        <f t="shared" si="20"/>
        <v/>
      </c>
      <c r="AI64" s="259">
        <f t="shared" si="21"/>
        <v>3280</v>
      </c>
      <c r="AJ64" s="260" t="str">
        <f t="shared" si="22"/>
        <v/>
      </c>
      <c r="AK64" s="261" t="str">
        <f t="shared" si="23"/>
        <v/>
      </c>
      <c r="AL64" s="429"/>
      <c r="AS64" s="78"/>
      <c r="AT64" s="270"/>
    </row>
    <row r="65" spans="1:47" x14ac:dyDescent="0.25">
      <c r="A65" s="210">
        <v>0</v>
      </c>
      <c r="B65" s="241" t="s">
        <v>543</v>
      </c>
      <c r="C65" s="289" t="s">
        <v>544</v>
      </c>
      <c r="D65" s="243">
        <f t="shared" si="13"/>
        <v>4</v>
      </c>
      <c r="E65" s="290">
        <v>240</v>
      </c>
      <c r="F65" s="245">
        <f t="shared" si="0"/>
        <v>960</v>
      </c>
      <c r="G65" s="246" t="s">
        <v>32</v>
      </c>
      <c r="H65" s="247"/>
      <c r="I65" s="218" t="str">
        <f t="shared" si="1"/>
        <v/>
      </c>
      <c r="J65" s="248">
        <v>4</v>
      </c>
      <c r="K65" s="249">
        <f t="shared" si="14"/>
        <v>960</v>
      </c>
      <c r="L65" s="266"/>
      <c r="M65" s="249" t="str">
        <f t="shared" si="2"/>
        <v/>
      </c>
      <c r="N65" s="251"/>
      <c r="O65" s="249" t="str">
        <f t="shared" si="15"/>
        <v/>
      </c>
      <c r="P65" s="252"/>
      <c r="Q65" s="249" t="str">
        <f t="shared" si="3"/>
        <v/>
      </c>
      <c r="R65" s="266"/>
      <c r="S65" s="249" t="str">
        <f t="shared" si="4"/>
        <v/>
      </c>
      <c r="T65" s="254"/>
      <c r="U65" s="255" t="str">
        <f t="shared" si="5"/>
        <v/>
      </c>
      <c r="V65" s="228"/>
      <c r="W65" s="256" t="str">
        <f t="shared" si="6"/>
        <v/>
      </c>
      <c r="X65" s="257" t="str">
        <f t="shared" si="7"/>
        <v/>
      </c>
      <c r="Y65" s="258" t="str">
        <f t="shared" si="16"/>
        <v/>
      </c>
      <c r="Z65" s="232" t="str">
        <f t="shared" si="25"/>
        <v/>
      </c>
      <c r="AA65" s="256" t="str">
        <f t="shared" si="9"/>
        <v/>
      </c>
      <c r="AB65" s="257" t="str">
        <f t="shared" si="10"/>
        <v/>
      </c>
      <c r="AC65" s="258" t="str">
        <f t="shared" si="11"/>
        <v/>
      </c>
      <c r="AD65" s="232" t="str">
        <f t="shared" si="12"/>
        <v/>
      </c>
      <c r="AE65" s="256" t="str">
        <f t="shared" si="17"/>
        <v/>
      </c>
      <c r="AF65" s="257" t="str">
        <f t="shared" si="18"/>
        <v/>
      </c>
      <c r="AG65" s="258" t="str">
        <f t="shared" si="19"/>
        <v/>
      </c>
      <c r="AH65" s="232" t="str">
        <f t="shared" si="20"/>
        <v/>
      </c>
      <c r="AI65" s="259">
        <f t="shared" si="21"/>
        <v>960</v>
      </c>
      <c r="AJ65" s="260" t="str">
        <f t="shared" si="22"/>
        <v/>
      </c>
      <c r="AK65" s="261" t="str">
        <f t="shared" si="23"/>
        <v/>
      </c>
      <c r="AL65" s="429"/>
      <c r="AS65" s="78"/>
      <c r="AT65" s="270"/>
    </row>
    <row r="66" spans="1:47" x14ac:dyDescent="0.25">
      <c r="A66" s="210">
        <v>0</v>
      </c>
      <c r="B66" s="241" t="s">
        <v>545</v>
      </c>
      <c r="C66" s="289" t="s">
        <v>546</v>
      </c>
      <c r="D66" s="243">
        <f t="shared" si="13"/>
        <v>73</v>
      </c>
      <c r="E66" s="294">
        <v>770.5</v>
      </c>
      <c r="F66" s="245">
        <f t="shared" si="0"/>
        <v>56246.5</v>
      </c>
      <c r="G66" s="246" t="s">
        <v>32</v>
      </c>
      <c r="H66" s="247"/>
      <c r="I66" s="218" t="str">
        <f t="shared" si="1"/>
        <v/>
      </c>
      <c r="J66" s="248">
        <v>64</v>
      </c>
      <c r="K66" s="249">
        <f t="shared" si="14"/>
        <v>49312</v>
      </c>
      <c r="L66" s="266">
        <v>9</v>
      </c>
      <c r="M66" s="249">
        <f t="shared" si="2"/>
        <v>6934.5</v>
      </c>
      <c r="N66" s="251"/>
      <c r="O66" s="249" t="str">
        <f t="shared" si="15"/>
        <v/>
      </c>
      <c r="P66" s="252"/>
      <c r="Q66" s="249" t="str">
        <f t="shared" si="3"/>
        <v/>
      </c>
      <c r="R66" s="266"/>
      <c r="S66" s="249" t="str">
        <f t="shared" si="4"/>
        <v/>
      </c>
      <c r="T66" s="254"/>
      <c r="U66" s="255" t="str">
        <f t="shared" si="5"/>
        <v/>
      </c>
      <c r="V66" s="228"/>
      <c r="W66" s="256" t="str">
        <f t="shared" si="6"/>
        <v/>
      </c>
      <c r="X66" s="257" t="str">
        <f t="shared" si="7"/>
        <v/>
      </c>
      <c r="Y66" s="258" t="str">
        <f t="shared" si="16"/>
        <v/>
      </c>
      <c r="Z66" s="232" t="str">
        <f t="shared" si="25"/>
        <v/>
      </c>
      <c r="AA66" s="256" t="str">
        <f t="shared" si="9"/>
        <v/>
      </c>
      <c r="AB66" s="257" t="str">
        <f t="shared" si="10"/>
        <v/>
      </c>
      <c r="AC66" s="258" t="str">
        <f t="shared" si="11"/>
        <v/>
      </c>
      <c r="AD66" s="232" t="str">
        <f t="shared" si="12"/>
        <v/>
      </c>
      <c r="AE66" s="256" t="str">
        <f t="shared" si="17"/>
        <v/>
      </c>
      <c r="AF66" s="257" t="str">
        <f t="shared" si="18"/>
        <v/>
      </c>
      <c r="AG66" s="258" t="str">
        <f t="shared" si="19"/>
        <v/>
      </c>
      <c r="AH66" s="232" t="str">
        <f t="shared" si="20"/>
        <v/>
      </c>
      <c r="AI66" s="259">
        <f t="shared" si="21"/>
        <v>49312</v>
      </c>
      <c r="AJ66" s="260">
        <f t="shared" si="22"/>
        <v>6934.5</v>
      </c>
      <c r="AK66" s="261" t="str">
        <f t="shared" si="23"/>
        <v/>
      </c>
      <c r="AL66" s="429"/>
    </row>
    <row r="67" spans="1:47" x14ac:dyDescent="0.25">
      <c r="A67" s="210">
        <v>0</v>
      </c>
      <c r="B67" s="241" t="s">
        <v>547</v>
      </c>
      <c r="C67" s="289" t="s">
        <v>548</v>
      </c>
      <c r="D67" s="243">
        <f t="shared" si="13"/>
        <v>3</v>
      </c>
      <c r="E67" s="294">
        <v>667</v>
      </c>
      <c r="F67" s="245">
        <f t="shared" si="0"/>
        <v>2001</v>
      </c>
      <c r="G67" s="246" t="s">
        <v>32</v>
      </c>
      <c r="H67" s="247"/>
      <c r="I67" s="218" t="str">
        <f t="shared" si="1"/>
        <v/>
      </c>
      <c r="J67" s="248">
        <v>3</v>
      </c>
      <c r="K67" s="249">
        <f t="shared" si="14"/>
        <v>2001</v>
      </c>
      <c r="L67" s="266"/>
      <c r="M67" s="249" t="str">
        <f t="shared" si="2"/>
        <v/>
      </c>
      <c r="N67" s="251"/>
      <c r="O67" s="249" t="str">
        <f t="shared" si="15"/>
        <v/>
      </c>
      <c r="P67" s="252"/>
      <c r="Q67" s="249" t="str">
        <f t="shared" si="3"/>
        <v/>
      </c>
      <c r="R67" s="266"/>
      <c r="S67" s="249" t="str">
        <f t="shared" si="4"/>
        <v/>
      </c>
      <c r="T67" s="254"/>
      <c r="U67" s="255" t="str">
        <f t="shared" si="5"/>
        <v/>
      </c>
      <c r="V67" s="228"/>
      <c r="W67" s="256" t="str">
        <f t="shared" si="6"/>
        <v/>
      </c>
      <c r="X67" s="257" t="str">
        <f t="shared" si="7"/>
        <v/>
      </c>
      <c r="Y67" s="258" t="str">
        <f t="shared" si="16"/>
        <v/>
      </c>
      <c r="Z67" s="232" t="str">
        <f t="shared" si="25"/>
        <v/>
      </c>
      <c r="AA67" s="256" t="str">
        <f t="shared" si="9"/>
        <v/>
      </c>
      <c r="AB67" s="257" t="str">
        <f t="shared" si="10"/>
        <v/>
      </c>
      <c r="AC67" s="258" t="str">
        <f t="shared" si="11"/>
        <v/>
      </c>
      <c r="AD67" s="232" t="str">
        <f t="shared" si="12"/>
        <v/>
      </c>
      <c r="AE67" s="256" t="str">
        <f t="shared" si="17"/>
        <v/>
      </c>
      <c r="AF67" s="257" t="str">
        <f t="shared" si="18"/>
        <v/>
      </c>
      <c r="AG67" s="258" t="str">
        <f t="shared" si="19"/>
        <v/>
      </c>
      <c r="AH67" s="232" t="str">
        <f t="shared" si="20"/>
        <v/>
      </c>
      <c r="AI67" s="259">
        <f t="shared" si="21"/>
        <v>2001</v>
      </c>
      <c r="AJ67" s="260" t="str">
        <f t="shared" si="22"/>
        <v/>
      </c>
      <c r="AK67" s="261" t="str">
        <f t="shared" si="23"/>
        <v/>
      </c>
      <c r="AL67" s="429"/>
      <c r="AO67" s="78"/>
      <c r="AP67" s="78"/>
      <c r="AQ67" s="78"/>
      <c r="AR67" s="78"/>
      <c r="AS67" s="78"/>
      <c r="AT67" s="270"/>
    </row>
    <row r="68" spans="1:47" x14ac:dyDescent="0.25">
      <c r="A68" s="210">
        <v>0</v>
      </c>
      <c r="B68" s="241" t="s">
        <v>549</v>
      </c>
      <c r="C68" s="289" t="s">
        <v>550</v>
      </c>
      <c r="D68" s="243">
        <f t="shared" si="13"/>
        <v>12</v>
      </c>
      <c r="E68" s="294">
        <v>534.75</v>
      </c>
      <c r="F68" s="245">
        <f t="shared" si="0"/>
        <v>6417</v>
      </c>
      <c r="G68" s="246" t="s">
        <v>32</v>
      </c>
      <c r="H68" s="247"/>
      <c r="I68" s="218" t="str">
        <f t="shared" si="1"/>
        <v/>
      </c>
      <c r="J68" s="248">
        <v>8</v>
      </c>
      <c r="K68" s="249">
        <f t="shared" si="14"/>
        <v>4278</v>
      </c>
      <c r="L68" s="266">
        <v>2</v>
      </c>
      <c r="M68" s="249">
        <f t="shared" si="2"/>
        <v>1069.5</v>
      </c>
      <c r="N68" s="251"/>
      <c r="O68" s="249" t="str">
        <f t="shared" si="15"/>
        <v/>
      </c>
      <c r="P68" s="252"/>
      <c r="Q68" s="249" t="str">
        <f t="shared" si="3"/>
        <v/>
      </c>
      <c r="R68" s="266">
        <v>2</v>
      </c>
      <c r="S68" s="249">
        <f t="shared" si="4"/>
        <v>1069.5</v>
      </c>
      <c r="T68" s="254"/>
      <c r="U68" s="255" t="str">
        <f t="shared" si="5"/>
        <v/>
      </c>
      <c r="V68" s="228"/>
      <c r="W68" s="256">
        <f t="shared" si="6"/>
        <v>871.14794352293973</v>
      </c>
      <c r="X68" s="257">
        <f t="shared" si="7"/>
        <v>198.35205647706024</v>
      </c>
      <c r="Y68" s="258">
        <f t="shared" si="16"/>
        <v>0</v>
      </c>
      <c r="Z68" s="232" t="str">
        <f t="shared" si="25"/>
        <v/>
      </c>
      <c r="AA68" s="256" t="str">
        <f t="shared" si="9"/>
        <v/>
      </c>
      <c r="AB68" s="257" t="str">
        <f t="shared" si="10"/>
        <v/>
      </c>
      <c r="AC68" s="258" t="str">
        <f t="shared" si="11"/>
        <v/>
      </c>
      <c r="AD68" s="232" t="str">
        <f t="shared" si="12"/>
        <v/>
      </c>
      <c r="AE68" s="256" t="str">
        <f t="shared" si="17"/>
        <v/>
      </c>
      <c r="AF68" s="257" t="str">
        <f t="shared" si="18"/>
        <v/>
      </c>
      <c r="AG68" s="258" t="str">
        <f t="shared" si="19"/>
        <v/>
      </c>
      <c r="AH68" s="232" t="str">
        <f t="shared" si="20"/>
        <v/>
      </c>
      <c r="AI68" s="259">
        <f t="shared" si="21"/>
        <v>5149.1479435229394</v>
      </c>
      <c r="AJ68" s="260">
        <f t="shared" si="22"/>
        <v>1267.8520564770602</v>
      </c>
      <c r="AK68" s="261" t="str">
        <f t="shared" si="23"/>
        <v/>
      </c>
      <c r="AL68" s="429"/>
      <c r="AO68" s="78"/>
      <c r="AP68" s="78"/>
      <c r="AQ68" s="78"/>
      <c r="AR68" s="78"/>
      <c r="AS68" s="78"/>
      <c r="AT68" s="270"/>
    </row>
    <row r="69" spans="1:47" x14ac:dyDescent="0.25">
      <c r="A69" s="210">
        <v>0</v>
      </c>
      <c r="B69" s="241" t="s">
        <v>551</v>
      </c>
      <c r="C69" s="297" t="s">
        <v>546</v>
      </c>
      <c r="D69" s="243">
        <f t="shared" si="13"/>
        <v>10</v>
      </c>
      <c r="E69" s="294">
        <v>468</v>
      </c>
      <c r="F69" s="245">
        <f t="shared" si="0"/>
        <v>4680</v>
      </c>
      <c r="G69" s="246" t="s">
        <v>32</v>
      </c>
      <c r="H69" s="247"/>
      <c r="I69" s="218" t="str">
        <f t="shared" si="1"/>
        <v/>
      </c>
      <c r="J69" s="248">
        <v>3</v>
      </c>
      <c r="K69" s="249">
        <f t="shared" si="14"/>
        <v>1404</v>
      </c>
      <c r="L69" s="266">
        <v>7</v>
      </c>
      <c r="M69" s="249">
        <f t="shared" si="2"/>
        <v>3276</v>
      </c>
      <c r="N69" s="251"/>
      <c r="O69" s="249" t="str">
        <f t="shared" si="15"/>
        <v/>
      </c>
      <c r="P69" s="252"/>
      <c r="Q69" s="249" t="str">
        <f t="shared" si="3"/>
        <v/>
      </c>
      <c r="R69" s="266"/>
      <c r="S69" s="249" t="str">
        <f t="shared" si="4"/>
        <v/>
      </c>
      <c r="T69" s="254"/>
      <c r="U69" s="255" t="str">
        <f t="shared" si="5"/>
        <v/>
      </c>
      <c r="V69" s="228"/>
      <c r="W69" s="256" t="str">
        <f t="shared" si="6"/>
        <v/>
      </c>
      <c r="X69" s="257" t="str">
        <f t="shared" si="7"/>
        <v/>
      </c>
      <c r="Y69" s="258" t="str">
        <f t="shared" si="16"/>
        <v/>
      </c>
      <c r="Z69" s="232" t="str">
        <f t="shared" si="25"/>
        <v/>
      </c>
      <c r="AA69" s="256" t="str">
        <f t="shared" si="9"/>
        <v/>
      </c>
      <c r="AB69" s="257" t="str">
        <f t="shared" si="10"/>
        <v/>
      </c>
      <c r="AC69" s="258" t="str">
        <f t="shared" si="11"/>
        <v/>
      </c>
      <c r="AD69" s="232" t="str">
        <f t="shared" si="12"/>
        <v/>
      </c>
      <c r="AE69" s="256" t="str">
        <f t="shared" si="17"/>
        <v/>
      </c>
      <c r="AF69" s="257" t="str">
        <f t="shared" si="18"/>
        <v/>
      </c>
      <c r="AG69" s="258" t="str">
        <f t="shared" si="19"/>
        <v/>
      </c>
      <c r="AH69" s="232" t="str">
        <f t="shared" si="20"/>
        <v/>
      </c>
      <c r="AI69" s="259">
        <f t="shared" si="21"/>
        <v>1404</v>
      </c>
      <c r="AJ69" s="260">
        <f t="shared" si="22"/>
        <v>3276</v>
      </c>
      <c r="AK69" s="261" t="str">
        <f t="shared" si="23"/>
        <v/>
      </c>
      <c r="AL69" s="429"/>
      <c r="AO69" s="78"/>
      <c r="AP69" s="78"/>
      <c r="AQ69" s="78"/>
      <c r="AR69" s="78"/>
      <c r="AS69" s="78"/>
      <c r="AT69" s="270"/>
    </row>
    <row r="70" spans="1:47" x14ac:dyDescent="0.25">
      <c r="A70" s="210">
        <v>0</v>
      </c>
      <c r="B70" s="241" t="s">
        <v>552</v>
      </c>
      <c r="C70" s="297" t="s">
        <v>553</v>
      </c>
      <c r="D70" s="243">
        <f t="shared" si="13"/>
        <v>3</v>
      </c>
      <c r="E70" s="294">
        <v>498</v>
      </c>
      <c r="F70" s="245">
        <f t="shared" si="0"/>
        <v>1494</v>
      </c>
      <c r="G70" s="246" t="s">
        <v>32</v>
      </c>
      <c r="H70" s="247"/>
      <c r="I70" s="218" t="str">
        <f t="shared" si="1"/>
        <v/>
      </c>
      <c r="J70" s="248"/>
      <c r="K70" s="249" t="str">
        <f t="shared" si="14"/>
        <v/>
      </c>
      <c r="L70" s="266">
        <v>3</v>
      </c>
      <c r="M70" s="249">
        <f t="shared" si="2"/>
        <v>1494</v>
      </c>
      <c r="N70" s="251"/>
      <c r="O70" s="249" t="str">
        <f t="shared" si="15"/>
        <v/>
      </c>
      <c r="P70" s="252"/>
      <c r="Q70" s="249" t="str">
        <f t="shared" si="3"/>
        <v/>
      </c>
      <c r="R70" s="266"/>
      <c r="S70" s="249" t="str">
        <f t="shared" si="4"/>
        <v/>
      </c>
      <c r="T70" s="254"/>
      <c r="U70" s="255" t="str">
        <f t="shared" si="5"/>
        <v/>
      </c>
      <c r="V70" s="228"/>
      <c r="W70" s="256" t="str">
        <f t="shared" si="6"/>
        <v/>
      </c>
      <c r="X70" s="257" t="str">
        <f t="shared" si="7"/>
        <v/>
      </c>
      <c r="Y70" s="258" t="str">
        <f t="shared" si="16"/>
        <v/>
      </c>
      <c r="Z70" s="232" t="str">
        <f t="shared" si="25"/>
        <v/>
      </c>
      <c r="AA70" s="256" t="str">
        <f t="shared" si="9"/>
        <v/>
      </c>
      <c r="AB70" s="257" t="str">
        <f t="shared" si="10"/>
        <v/>
      </c>
      <c r="AC70" s="258" t="str">
        <f t="shared" si="11"/>
        <v/>
      </c>
      <c r="AD70" s="232" t="str">
        <f t="shared" si="12"/>
        <v/>
      </c>
      <c r="AE70" s="256" t="str">
        <f t="shared" si="17"/>
        <v/>
      </c>
      <c r="AF70" s="257" t="str">
        <f t="shared" si="18"/>
        <v/>
      </c>
      <c r="AG70" s="258" t="str">
        <f t="shared" si="19"/>
        <v/>
      </c>
      <c r="AH70" s="232" t="str">
        <f t="shared" si="20"/>
        <v/>
      </c>
      <c r="AI70" s="259" t="str">
        <f t="shared" si="21"/>
        <v/>
      </c>
      <c r="AJ70" s="260">
        <f t="shared" si="22"/>
        <v>1494</v>
      </c>
      <c r="AK70" s="261" t="str">
        <f t="shared" si="23"/>
        <v/>
      </c>
      <c r="AL70" s="429"/>
      <c r="AO70" s="78"/>
      <c r="AP70" s="78"/>
      <c r="AQ70" s="78"/>
      <c r="AR70" s="78"/>
      <c r="AS70" s="78"/>
      <c r="AT70" s="270"/>
    </row>
    <row r="71" spans="1:47" x14ac:dyDescent="0.25">
      <c r="A71" s="210">
        <v>0</v>
      </c>
      <c r="B71" s="241" t="s">
        <v>554</v>
      </c>
      <c r="C71" s="289" t="s">
        <v>555</v>
      </c>
      <c r="D71" s="243">
        <f t="shared" si="13"/>
        <v>17</v>
      </c>
      <c r="E71" s="290">
        <v>249</v>
      </c>
      <c r="F71" s="245">
        <f t="shared" si="0"/>
        <v>4233</v>
      </c>
      <c r="G71" s="246" t="s">
        <v>32</v>
      </c>
      <c r="H71" s="247"/>
      <c r="I71" s="218" t="str">
        <f t="shared" ref="I71:I91" si="26">IFERROR(IF(SUM(J71,L71,N71,P71,R71,T71)-D71=0,"","K"),"")</f>
        <v/>
      </c>
      <c r="J71" s="248">
        <v>14</v>
      </c>
      <c r="K71" s="249">
        <f t="shared" si="14"/>
        <v>3486</v>
      </c>
      <c r="L71" s="266">
        <v>2</v>
      </c>
      <c r="M71" s="249">
        <f t="shared" si="2"/>
        <v>498</v>
      </c>
      <c r="N71" s="251"/>
      <c r="O71" s="249" t="str">
        <f t="shared" si="15"/>
        <v/>
      </c>
      <c r="P71" s="252"/>
      <c r="Q71" s="249" t="str">
        <f t="shared" ref="Q71:Q90" si="27">IF(ISBLANK(P71),"",SUM(P71*$E71))</f>
        <v/>
      </c>
      <c r="R71" s="266">
        <v>1</v>
      </c>
      <c r="S71" s="249">
        <f t="shared" si="4"/>
        <v>249</v>
      </c>
      <c r="T71" s="254"/>
      <c r="U71" s="255" t="str">
        <f t="shared" si="5"/>
        <v/>
      </c>
      <c r="V71" s="228"/>
      <c r="W71" s="256">
        <f t="shared" ref="W71:W90" si="28">IFERROR(IF(ISBLANK($S71),"",$S71*$AT$7),"")</f>
        <v>202.81985781880505</v>
      </c>
      <c r="X71" s="257">
        <f t="shared" ref="X71:X90" si="29">IFERROR(IF(ISBLANK($S71),"",$S71*$AT$8),"")</f>
        <v>46.180142181194952</v>
      </c>
      <c r="Y71" s="258">
        <f t="shared" si="16"/>
        <v>0</v>
      </c>
      <c r="Z71" s="232" t="str">
        <f t="shared" si="25"/>
        <v/>
      </c>
      <c r="AA71" s="256" t="str">
        <f t="shared" ref="AA71:AA90" si="30">IFERROR(IF(ISBLANK($U71),"",$U71*$AV$7),"")</f>
        <v/>
      </c>
      <c r="AB71" s="257" t="str">
        <f t="shared" ref="AB71:AB91" si="31">IFERROR(IF(ISBLANK($U71),"",IF($U71*$AV$8=0,"",$U71*$AV$8)),"")</f>
        <v/>
      </c>
      <c r="AC71" s="258" t="str">
        <f t="shared" ref="AC71:AC91" si="32">IFERROR(IF(ISBLANK($U71),"",IF($U71*$AV$9=0,"",$U71*$AV$9)),"")</f>
        <v/>
      </c>
      <c r="AD71" s="232" t="str">
        <f t="shared" ref="AD71:AD90" si="33">IF(SUM(U71)=SUM(AA71:AC71),"","K")</f>
        <v/>
      </c>
      <c r="AE71" s="256" t="str">
        <f t="shared" si="17"/>
        <v/>
      </c>
      <c r="AF71" s="257" t="str">
        <f t="shared" si="18"/>
        <v/>
      </c>
      <c r="AG71" s="258" t="str">
        <f t="shared" si="19"/>
        <v/>
      </c>
      <c r="AH71" s="232" t="str">
        <f t="shared" si="20"/>
        <v/>
      </c>
      <c r="AI71" s="259">
        <f t="shared" si="21"/>
        <v>3688.8198578188048</v>
      </c>
      <c r="AJ71" s="260">
        <f t="shared" si="22"/>
        <v>544.18014218119492</v>
      </c>
      <c r="AK71" s="261" t="str">
        <f t="shared" si="23"/>
        <v/>
      </c>
      <c r="AL71" s="429"/>
      <c r="AO71" s="78"/>
      <c r="AP71" s="78"/>
      <c r="AQ71" s="78"/>
      <c r="AR71" s="78"/>
      <c r="AS71" s="78"/>
      <c r="AT71" s="270"/>
      <c r="AU71" s="292"/>
    </row>
    <row r="72" spans="1:47" x14ac:dyDescent="0.25">
      <c r="A72" s="210">
        <v>0</v>
      </c>
      <c r="B72" s="241" t="s">
        <v>556</v>
      </c>
      <c r="C72" s="289" t="s">
        <v>557</v>
      </c>
      <c r="D72" s="243">
        <f t="shared" ref="D72:D90" si="34">SUM(J72,L72,N72,P72,R72,T72)</f>
        <v>92</v>
      </c>
      <c r="E72" s="294">
        <v>235.75</v>
      </c>
      <c r="F72" s="245">
        <f t="shared" si="0"/>
        <v>21689</v>
      </c>
      <c r="G72" s="246" t="s">
        <v>32</v>
      </c>
      <c r="H72" s="247"/>
      <c r="I72" s="218" t="str">
        <f t="shared" si="26"/>
        <v/>
      </c>
      <c r="J72" s="248">
        <v>71</v>
      </c>
      <c r="K72" s="249">
        <f t="shared" ref="K72:K91" si="35">IF(ISBLANK(J72),"",SUM(J72*$E72))</f>
        <v>16738.25</v>
      </c>
      <c r="L72" s="266">
        <v>19</v>
      </c>
      <c r="M72" s="249">
        <f t="shared" si="2"/>
        <v>4479.25</v>
      </c>
      <c r="N72" s="251"/>
      <c r="O72" s="249" t="str">
        <f t="shared" ref="O72:O90" si="36">IF(ISBLANK(N72),"",SUM(N72*$E72))</f>
        <v/>
      </c>
      <c r="P72" s="252"/>
      <c r="Q72" s="249" t="str">
        <f t="shared" si="27"/>
        <v/>
      </c>
      <c r="R72" s="266">
        <v>2</v>
      </c>
      <c r="S72" s="249">
        <f t="shared" si="4"/>
        <v>471.5</v>
      </c>
      <c r="T72" s="254"/>
      <c r="U72" s="255" t="str">
        <f t="shared" si="5"/>
        <v/>
      </c>
      <c r="V72" s="228"/>
      <c r="W72" s="256">
        <f t="shared" si="28"/>
        <v>384.054469725167</v>
      </c>
      <c r="X72" s="257">
        <f t="shared" si="29"/>
        <v>87.445530274833004</v>
      </c>
      <c r="Y72" s="258">
        <f t="shared" ref="Y72:Y90" si="37">IFERROR(IF(ISBLANK($S72),"",$S72*$AT$20),"")</f>
        <v>0</v>
      </c>
      <c r="Z72" s="232" t="str">
        <f t="shared" si="25"/>
        <v/>
      </c>
      <c r="AA72" s="256" t="str">
        <f t="shared" si="30"/>
        <v/>
      </c>
      <c r="AB72" s="257" t="str">
        <f t="shared" si="31"/>
        <v/>
      </c>
      <c r="AC72" s="258" t="str">
        <f t="shared" si="32"/>
        <v/>
      </c>
      <c r="AD72" s="232" t="str">
        <f t="shared" si="33"/>
        <v/>
      </c>
      <c r="AE72" s="256" t="str">
        <f t="shared" ref="AE72:AE91" si="38">IFERROR(IF(ISBLANK($Q72),"",$Q72*75%),"")</f>
        <v/>
      </c>
      <c r="AF72" s="257" t="str">
        <f t="shared" ref="AF72:AF91" si="39">IFERROR(IF(ISBLANK($Q72),"",IF($Q72*25%=0,"",$Q72*25%)),"")</f>
        <v/>
      </c>
      <c r="AG72" s="258" t="str">
        <f t="shared" ref="AG72:AG91" si="40">IFERROR(IF(ISBLANK($U72),"",IF($U72*0%=0,"",$U72*0%)),"")</f>
        <v/>
      </c>
      <c r="AH72" s="232" t="str">
        <f t="shared" ref="AH72:AH91" si="41">IF(SUM(Q72)=SUM(AE72:AG72),"","K")</f>
        <v/>
      </c>
      <c r="AI72" s="259">
        <f t="shared" ref="AI72:AI91" si="42">IF(SUM(K72,W72,AA72,AE72)=0,"",SUM(K72,W72,AA72,AE72))</f>
        <v>17122.304469725168</v>
      </c>
      <c r="AJ72" s="260">
        <f t="shared" ref="AJ72:AJ91" si="43">IF(SUM(M72,X72,AB72,AF72)=0,"",SUM(M72,X72,AB72,AF72))</f>
        <v>4566.6955302748329</v>
      </c>
      <c r="AK72" s="261" t="str">
        <f t="shared" ref="AK72:AK91" si="44">IF(SUM(O72,Y72,AC72,AG72)=0,"",SUM(O72,Y72,AC72,AG72))</f>
        <v/>
      </c>
      <c r="AL72" s="429"/>
      <c r="AO72" s="78"/>
      <c r="AP72" s="78"/>
      <c r="AQ72" s="78"/>
      <c r="AR72" s="78"/>
      <c r="AS72" s="78"/>
      <c r="AT72" s="270"/>
      <c r="AU72" s="292"/>
    </row>
    <row r="73" spans="1:47" x14ac:dyDescent="0.25">
      <c r="A73" s="210">
        <v>0</v>
      </c>
      <c r="B73" s="241" t="s">
        <v>558</v>
      </c>
      <c r="C73" s="242" t="s">
        <v>559</v>
      </c>
      <c r="D73" s="243">
        <f t="shared" si="34"/>
        <v>26</v>
      </c>
      <c r="E73" s="294">
        <v>189.75</v>
      </c>
      <c r="F73" s="245">
        <f t="shared" si="0"/>
        <v>4933.5</v>
      </c>
      <c r="G73" s="246" t="s">
        <v>32</v>
      </c>
      <c r="H73" s="247"/>
      <c r="I73" s="218" t="str">
        <f t="shared" si="26"/>
        <v/>
      </c>
      <c r="J73" s="248">
        <v>23</v>
      </c>
      <c r="K73" s="249">
        <f t="shared" si="35"/>
        <v>4364.25</v>
      </c>
      <c r="L73" s="266">
        <v>2</v>
      </c>
      <c r="M73" s="249">
        <f t="shared" si="2"/>
        <v>379.5</v>
      </c>
      <c r="N73" s="251"/>
      <c r="O73" s="249" t="str">
        <f t="shared" si="36"/>
        <v/>
      </c>
      <c r="P73" s="252"/>
      <c r="Q73" s="249" t="str">
        <f t="shared" si="27"/>
        <v/>
      </c>
      <c r="R73" s="266">
        <v>1</v>
      </c>
      <c r="S73" s="249">
        <f t="shared" si="4"/>
        <v>189.75</v>
      </c>
      <c r="T73" s="254"/>
      <c r="U73" s="255" t="str">
        <f t="shared" si="5"/>
        <v/>
      </c>
      <c r="V73" s="228"/>
      <c r="W73" s="256">
        <f t="shared" si="28"/>
        <v>154.55850610890866</v>
      </c>
      <c r="X73" s="257">
        <f t="shared" si="29"/>
        <v>35.191493891091334</v>
      </c>
      <c r="Y73" s="258">
        <f t="shared" si="37"/>
        <v>0</v>
      </c>
      <c r="Z73" s="232" t="str">
        <f t="shared" si="25"/>
        <v/>
      </c>
      <c r="AA73" s="256" t="str">
        <f t="shared" si="30"/>
        <v/>
      </c>
      <c r="AB73" s="257" t="str">
        <f t="shared" si="31"/>
        <v/>
      </c>
      <c r="AC73" s="258" t="str">
        <f t="shared" si="32"/>
        <v/>
      </c>
      <c r="AD73" s="232" t="str">
        <f t="shared" si="33"/>
        <v/>
      </c>
      <c r="AE73" s="256" t="str">
        <f t="shared" si="38"/>
        <v/>
      </c>
      <c r="AF73" s="257" t="str">
        <f t="shared" si="39"/>
        <v/>
      </c>
      <c r="AG73" s="258" t="str">
        <f t="shared" si="40"/>
        <v/>
      </c>
      <c r="AH73" s="232" t="str">
        <f t="shared" si="41"/>
        <v/>
      </c>
      <c r="AI73" s="259">
        <f t="shared" si="42"/>
        <v>4518.8085061089087</v>
      </c>
      <c r="AJ73" s="260">
        <f t="shared" si="43"/>
        <v>414.69149389109134</v>
      </c>
      <c r="AK73" s="261" t="str">
        <f t="shared" si="44"/>
        <v/>
      </c>
      <c r="AL73" s="429"/>
      <c r="AN73" s="86"/>
      <c r="AO73" s="94"/>
      <c r="AP73" s="94"/>
      <c r="AQ73" s="94"/>
      <c r="AR73" s="94"/>
      <c r="AS73" s="94"/>
      <c r="AT73" s="284"/>
      <c r="AU73" s="292"/>
    </row>
    <row r="74" spans="1:47" x14ac:dyDescent="0.25">
      <c r="A74" s="210">
        <v>0</v>
      </c>
      <c r="B74" s="298" t="s">
        <v>560</v>
      </c>
      <c r="C74" s="299" t="s">
        <v>561</v>
      </c>
      <c r="D74" s="300">
        <f t="shared" si="34"/>
        <v>9</v>
      </c>
      <c r="E74" s="301">
        <v>391</v>
      </c>
      <c r="F74" s="302">
        <f t="shared" si="0"/>
        <v>3519</v>
      </c>
      <c r="G74" s="303" t="s">
        <v>32</v>
      </c>
      <c r="H74" s="304"/>
      <c r="I74" s="276" t="str">
        <f t="shared" si="26"/>
        <v/>
      </c>
      <c r="J74" s="305">
        <v>9</v>
      </c>
      <c r="K74" s="306">
        <f t="shared" si="35"/>
        <v>3519</v>
      </c>
      <c r="L74" s="307"/>
      <c r="M74" s="306" t="str">
        <f t="shared" si="2"/>
        <v/>
      </c>
      <c r="N74" s="308"/>
      <c r="O74" s="306" t="str">
        <f t="shared" si="36"/>
        <v/>
      </c>
      <c r="P74" s="309"/>
      <c r="Q74" s="306" t="str">
        <f t="shared" si="27"/>
        <v/>
      </c>
      <c r="R74" s="310"/>
      <c r="S74" s="306" t="str">
        <f t="shared" si="4"/>
        <v/>
      </c>
      <c r="T74" s="311"/>
      <c r="U74" s="312" t="str">
        <f t="shared" si="5"/>
        <v/>
      </c>
      <c r="V74" s="282"/>
      <c r="W74" s="313" t="str">
        <f t="shared" si="28"/>
        <v/>
      </c>
      <c r="X74" s="314" t="str">
        <f t="shared" si="29"/>
        <v/>
      </c>
      <c r="Y74" s="315" t="str">
        <f t="shared" si="37"/>
        <v/>
      </c>
      <c r="Z74" s="283" t="str">
        <f t="shared" si="25"/>
        <v/>
      </c>
      <c r="AA74" s="313" t="str">
        <f t="shared" si="30"/>
        <v/>
      </c>
      <c r="AB74" s="314" t="str">
        <f t="shared" si="31"/>
        <v/>
      </c>
      <c r="AC74" s="315" t="str">
        <f t="shared" si="32"/>
        <v/>
      </c>
      <c r="AD74" s="283" t="str">
        <f t="shared" si="33"/>
        <v/>
      </c>
      <c r="AE74" s="313" t="str">
        <f t="shared" si="38"/>
        <v/>
      </c>
      <c r="AF74" s="314" t="str">
        <f t="shared" si="39"/>
        <v/>
      </c>
      <c r="AG74" s="315" t="str">
        <f t="shared" si="40"/>
        <v/>
      </c>
      <c r="AH74" s="283" t="str">
        <f t="shared" si="41"/>
        <v/>
      </c>
      <c r="AI74" s="316">
        <f t="shared" si="42"/>
        <v>3519</v>
      </c>
      <c r="AJ74" s="317" t="str">
        <f t="shared" si="43"/>
        <v/>
      </c>
      <c r="AK74" s="318" t="str">
        <f t="shared" si="44"/>
        <v/>
      </c>
      <c r="AL74" s="429"/>
      <c r="AN74" s="86"/>
      <c r="AO74" s="94"/>
      <c r="AP74" s="94"/>
      <c r="AQ74" s="94"/>
      <c r="AR74" s="94"/>
      <c r="AS74" s="94"/>
      <c r="AT74" s="284"/>
      <c r="AU74" s="292"/>
    </row>
    <row r="75" spans="1:47" x14ac:dyDescent="0.25">
      <c r="A75" s="210">
        <v>0</v>
      </c>
      <c r="B75" s="271"/>
      <c r="C75" s="272" t="s">
        <v>562</v>
      </c>
      <c r="D75" s="243">
        <f t="shared" si="34"/>
        <v>45</v>
      </c>
      <c r="E75" s="273">
        <v>111.11</v>
      </c>
      <c r="F75" s="245">
        <f t="shared" si="0"/>
        <v>4999.95</v>
      </c>
      <c r="G75" s="274" t="s">
        <v>32</v>
      </c>
      <c r="H75" s="319"/>
      <c r="I75" s="320" t="str">
        <f t="shared" si="26"/>
        <v/>
      </c>
      <c r="J75" s="277">
        <v>45</v>
      </c>
      <c r="K75" s="249">
        <f t="shared" si="35"/>
        <v>4999.95</v>
      </c>
      <c r="L75" s="278"/>
      <c r="M75" s="249" t="str">
        <f t="shared" si="2"/>
        <v/>
      </c>
      <c r="N75" s="279"/>
      <c r="O75" s="249" t="str">
        <f t="shared" si="36"/>
        <v/>
      </c>
      <c r="P75" s="280"/>
      <c r="Q75" s="249" t="str">
        <f t="shared" si="27"/>
        <v/>
      </c>
      <c r="R75" s="278"/>
      <c r="S75" s="249" t="str">
        <f t="shared" si="4"/>
        <v/>
      </c>
      <c r="T75" s="281"/>
      <c r="U75" s="255" t="str">
        <f t="shared" si="5"/>
        <v/>
      </c>
      <c r="V75" s="321"/>
      <c r="W75" s="256" t="str">
        <f t="shared" si="28"/>
        <v/>
      </c>
      <c r="X75" s="257" t="str">
        <f t="shared" si="29"/>
        <v/>
      </c>
      <c r="Y75" s="258" t="str">
        <f t="shared" si="37"/>
        <v/>
      </c>
      <c r="Z75" s="322" t="str">
        <f t="shared" si="25"/>
        <v/>
      </c>
      <c r="AA75" s="256" t="str">
        <f t="shared" si="30"/>
        <v/>
      </c>
      <c r="AB75" s="257" t="str">
        <f t="shared" si="31"/>
        <v/>
      </c>
      <c r="AC75" s="258" t="str">
        <f t="shared" si="32"/>
        <v/>
      </c>
      <c r="AD75" s="322" t="str">
        <f t="shared" si="33"/>
        <v/>
      </c>
      <c r="AE75" s="256" t="str">
        <f t="shared" si="38"/>
        <v/>
      </c>
      <c r="AF75" s="257" t="str">
        <f t="shared" si="39"/>
        <v/>
      </c>
      <c r="AG75" s="258" t="str">
        <f t="shared" si="40"/>
        <v/>
      </c>
      <c r="AH75" s="322" t="str">
        <f t="shared" si="41"/>
        <v/>
      </c>
      <c r="AI75" s="259">
        <f t="shared" si="42"/>
        <v>4999.95</v>
      </c>
      <c r="AJ75" s="260" t="str">
        <f t="shared" si="43"/>
        <v/>
      </c>
      <c r="AK75" s="261" t="str">
        <f t="shared" si="44"/>
        <v/>
      </c>
      <c r="AL75" s="429"/>
      <c r="AN75" s="86"/>
      <c r="AO75" s="94"/>
      <c r="AP75" s="94"/>
      <c r="AQ75" s="94"/>
      <c r="AR75" s="94"/>
      <c r="AS75" s="94"/>
      <c r="AT75" s="284"/>
    </row>
    <row r="76" spans="1:47" x14ac:dyDescent="0.25">
      <c r="A76" s="210">
        <v>0</v>
      </c>
      <c r="B76" s="271"/>
      <c r="C76" s="272" t="s">
        <v>563</v>
      </c>
      <c r="D76" s="243">
        <f t="shared" si="34"/>
        <v>3</v>
      </c>
      <c r="E76" s="273">
        <v>6333.33</v>
      </c>
      <c r="F76" s="245">
        <f t="shared" si="0"/>
        <v>18999.989999999998</v>
      </c>
      <c r="G76" s="274" t="s">
        <v>32</v>
      </c>
      <c r="H76" s="319"/>
      <c r="I76" s="276" t="str">
        <f t="shared" si="26"/>
        <v/>
      </c>
      <c r="J76" s="277">
        <v>3</v>
      </c>
      <c r="K76" s="249">
        <f t="shared" si="35"/>
        <v>18999.989999999998</v>
      </c>
      <c r="L76" s="278"/>
      <c r="M76" s="249" t="str">
        <f t="shared" si="2"/>
        <v/>
      </c>
      <c r="N76" s="279"/>
      <c r="O76" s="249" t="str">
        <f t="shared" si="36"/>
        <v/>
      </c>
      <c r="P76" s="280"/>
      <c r="Q76" s="249" t="str">
        <f t="shared" si="27"/>
        <v/>
      </c>
      <c r="R76" s="278"/>
      <c r="S76" s="249" t="str">
        <f t="shared" si="4"/>
        <v/>
      </c>
      <c r="T76" s="281"/>
      <c r="U76" s="255" t="str">
        <f t="shared" si="5"/>
        <v/>
      </c>
      <c r="V76" s="282"/>
      <c r="W76" s="256" t="str">
        <f t="shared" si="28"/>
        <v/>
      </c>
      <c r="X76" s="257" t="str">
        <f t="shared" si="29"/>
        <v/>
      </c>
      <c r="Y76" s="258" t="str">
        <f t="shared" si="37"/>
        <v/>
      </c>
      <c r="Z76" s="283" t="str">
        <f t="shared" si="25"/>
        <v/>
      </c>
      <c r="AA76" s="256" t="str">
        <f t="shared" si="30"/>
        <v/>
      </c>
      <c r="AB76" s="257" t="str">
        <f t="shared" si="31"/>
        <v/>
      </c>
      <c r="AC76" s="258" t="str">
        <f t="shared" si="32"/>
        <v/>
      </c>
      <c r="AD76" s="283" t="str">
        <f t="shared" si="33"/>
        <v/>
      </c>
      <c r="AE76" s="256" t="str">
        <f t="shared" si="38"/>
        <v/>
      </c>
      <c r="AF76" s="257" t="str">
        <f t="shared" si="39"/>
        <v/>
      </c>
      <c r="AG76" s="258" t="str">
        <f t="shared" si="40"/>
        <v/>
      </c>
      <c r="AH76" s="283" t="str">
        <f t="shared" si="41"/>
        <v/>
      </c>
      <c r="AI76" s="259">
        <f t="shared" si="42"/>
        <v>18999.989999999998</v>
      </c>
      <c r="AJ76" s="260" t="str">
        <f t="shared" si="43"/>
        <v/>
      </c>
      <c r="AK76" s="261" t="str">
        <f t="shared" si="44"/>
        <v/>
      </c>
      <c r="AL76" s="429"/>
      <c r="AN76" s="86"/>
      <c r="AO76" s="94"/>
      <c r="AP76" s="94"/>
      <c r="AQ76" s="94"/>
      <c r="AR76" s="94"/>
      <c r="AS76" s="94"/>
      <c r="AT76" s="284"/>
    </row>
    <row r="77" spans="1:47" x14ac:dyDescent="0.25">
      <c r="A77" s="210">
        <v>0</v>
      </c>
      <c r="B77" s="271"/>
      <c r="C77" s="272" t="s">
        <v>564</v>
      </c>
      <c r="D77" s="243">
        <f t="shared" si="34"/>
        <v>6</v>
      </c>
      <c r="E77" s="273">
        <v>6000</v>
      </c>
      <c r="F77" s="245">
        <f t="shared" si="0"/>
        <v>36000</v>
      </c>
      <c r="G77" s="274" t="s">
        <v>32</v>
      </c>
      <c r="H77" s="319"/>
      <c r="I77" s="276" t="str">
        <f t="shared" si="26"/>
        <v/>
      </c>
      <c r="J77" s="277">
        <v>6</v>
      </c>
      <c r="K77" s="249">
        <f t="shared" si="35"/>
        <v>36000</v>
      </c>
      <c r="L77" s="278"/>
      <c r="M77" s="249" t="str">
        <f t="shared" si="2"/>
        <v/>
      </c>
      <c r="N77" s="279"/>
      <c r="O77" s="249" t="str">
        <f t="shared" si="36"/>
        <v/>
      </c>
      <c r="P77" s="280"/>
      <c r="Q77" s="249" t="str">
        <f t="shared" si="27"/>
        <v/>
      </c>
      <c r="R77" s="323"/>
      <c r="S77" s="249" t="str">
        <f t="shared" si="4"/>
        <v/>
      </c>
      <c r="T77" s="281"/>
      <c r="U77" s="255" t="str">
        <f t="shared" si="5"/>
        <v/>
      </c>
      <c r="V77" s="282"/>
      <c r="W77" s="256" t="str">
        <f t="shared" si="28"/>
        <v/>
      </c>
      <c r="X77" s="257" t="str">
        <f t="shared" si="29"/>
        <v/>
      </c>
      <c r="Y77" s="258" t="str">
        <f t="shared" si="37"/>
        <v/>
      </c>
      <c r="Z77" s="283" t="str">
        <f t="shared" si="25"/>
        <v/>
      </c>
      <c r="AA77" s="256" t="str">
        <f t="shared" si="30"/>
        <v/>
      </c>
      <c r="AB77" s="257" t="str">
        <f t="shared" si="31"/>
        <v/>
      </c>
      <c r="AC77" s="258" t="str">
        <f t="shared" si="32"/>
        <v/>
      </c>
      <c r="AD77" s="283" t="str">
        <f t="shared" si="33"/>
        <v/>
      </c>
      <c r="AE77" s="256" t="str">
        <f t="shared" si="38"/>
        <v/>
      </c>
      <c r="AF77" s="257" t="str">
        <f t="shared" si="39"/>
        <v/>
      </c>
      <c r="AG77" s="258" t="str">
        <f t="shared" si="40"/>
        <v/>
      </c>
      <c r="AH77" s="283" t="str">
        <f t="shared" si="41"/>
        <v/>
      </c>
      <c r="AI77" s="259">
        <f t="shared" si="42"/>
        <v>36000</v>
      </c>
      <c r="AJ77" s="260" t="str">
        <f t="shared" si="43"/>
        <v/>
      </c>
      <c r="AK77" s="261" t="str">
        <f t="shared" si="44"/>
        <v/>
      </c>
      <c r="AL77" s="429"/>
      <c r="AN77" s="86"/>
      <c r="AO77" s="94"/>
      <c r="AP77" s="94"/>
      <c r="AQ77" s="94"/>
      <c r="AR77" s="94"/>
      <c r="AS77" s="94"/>
      <c r="AT77" s="284"/>
    </row>
    <row r="78" spans="1:47" x14ac:dyDescent="0.25">
      <c r="A78" s="210">
        <v>0</v>
      </c>
      <c r="B78" s="271"/>
      <c r="C78" s="272" t="s">
        <v>565</v>
      </c>
      <c r="D78" s="243">
        <f t="shared" si="34"/>
        <v>45</v>
      </c>
      <c r="E78" s="273">
        <v>155.55000000000001</v>
      </c>
      <c r="F78" s="245">
        <f t="shared" si="0"/>
        <v>6999.7500000000009</v>
      </c>
      <c r="G78" s="274" t="s">
        <v>32</v>
      </c>
      <c r="H78" s="319"/>
      <c r="I78" s="276" t="str">
        <f t="shared" si="26"/>
        <v/>
      </c>
      <c r="J78" s="277">
        <v>45</v>
      </c>
      <c r="K78" s="249">
        <f t="shared" si="35"/>
        <v>6999.7500000000009</v>
      </c>
      <c r="L78" s="278"/>
      <c r="M78" s="249" t="str">
        <f t="shared" si="2"/>
        <v/>
      </c>
      <c r="N78" s="279"/>
      <c r="O78" s="249" t="str">
        <f t="shared" si="36"/>
        <v/>
      </c>
      <c r="P78" s="280"/>
      <c r="Q78" s="249" t="str">
        <f t="shared" si="27"/>
        <v/>
      </c>
      <c r="R78" s="323"/>
      <c r="S78" s="249" t="str">
        <f t="shared" si="4"/>
        <v/>
      </c>
      <c r="T78" s="281"/>
      <c r="U78" s="255" t="str">
        <f t="shared" si="5"/>
        <v/>
      </c>
      <c r="V78" s="282"/>
      <c r="W78" s="256" t="str">
        <f t="shared" si="28"/>
        <v/>
      </c>
      <c r="X78" s="257" t="str">
        <f t="shared" si="29"/>
        <v/>
      </c>
      <c r="Y78" s="258" t="str">
        <f t="shared" si="37"/>
        <v/>
      </c>
      <c r="Z78" s="283" t="str">
        <f t="shared" si="25"/>
        <v/>
      </c>
      <c r="AA78" s="256" t="str">
        <f t="shared" si="30"/>
        <v/>
      </c>
      <c r="AB78" s="257" t="str">
        <f t="shared" si="31"/>
        <v/>
      </c>
      <c r="AC78" s="258" t="str">
        <f t="shared" si="32"/>
        <v/>
      </c>
      <c r="AD78" s="283" t="str">
        <f t="shared" si="33"/>
        <v/>
      </c>
      <c r="AE78" s="256" t="str">
        <f t="shared" si="38"/>
        <v/>
      </c>
      <c r="AF78" s="257" t="str">
        <f t="shared" si="39"/>
        <v/>
      </c>
      <c r="AG78" s="258" t="str">
        <f t="shared" si="40"/>
        <v/>
      </c>
      <c r="AH78" s="283" t="str">
        <f t="shared" si="41"/>
        <v/>
      </c>
      <c r="AI78" s="259">
        <f t="shared" si="42"/>
        <v>6999.7500000000009</v>
      </c>
      <c r="AJ78" s="260" t="str">
        <f t="shared" si="43"/>
        <v/>
      </c>
      <c r="AK78" s="261" t="str">
        <f t="shared" si="44"/>
        <v/>
      </c>
      <c r="AL78" s="429"/>
      <c r="AN78" s="86"/>
      <c r="AO78" s="94"/>
      <c r="AP78" s="94"/>
      <c r="AQ78" s="94"/>
      <c r="AR78" s="94"/>
      <c r="AS78" s="94"/>
      <c r="AT78" s="284"/>
    </row>
    <row r="79" spans="1:47" x14ac:dyDescent="0.25">
      <c r="A79" s="210">
        <v>0</v>
      </c>
      <c r="B79" s="271"/>
      <c r="C79" s="272" t="s">
        <v>566</v>
      </c>
      <c r="D79" s="243">
        <f t="shared" si="34"/>
        <v>3</v>
      </c>
      <c r="E79" s="273">
        <v>7000</v>
      </c>
      <c r="F79" s="245">
        <f t="shared" si="0"/>
        <v>21000</v>
      </c>
      <c r="G79" s="274" t="s">
        <v>32</v>
      </c>
      <c r="H79" s="319"/>
      <c r="I79" s="276" t="str">
        <f t="shared" si="26"/>
        <v/>
      </c>
      <c r="J79" s="277">
        <v>3</v>
      </c>
      <c r="K79" s="249">
        <f t="shared" si="35"/>
        <v>21000</v>
      </c>
      <c r="L79" s="278"/>
      <c r="M79" s="249" t="str">
        <f t="shared" si="2"/>
        <v/>
      </c>
      <c r="N79" s="279"/>
      <c r="O79" s="249" t="str">
        <f t="shared" si="36"/>
        <v/>
      </c>
      <c r="P79" s="323"/>
      <c r="Q79" s="249" t="str">
        <f t="shared" si="27"/>
        <v/>
      </c>
      <c r="R79" s="323"/>
      <c r="S79" s="249" t="str">
        <f t="shared" si="4"/>
        <v/>
      </c>
      <c r="T79" s="281"/>
      <c r="U79" s="255" t="str">
        <f t="shared" si="5"/>
        <v/>
      </c>
      <c r="V79" s="282"/>
      <c r="W79" s="256" t="str">
        <f t="shared" si="28"/>
        <v/>
      </c>
      <c r="X79" s="257" t="str">
        <f t="shared" si="29"/>
        <v/>
      </c>
      <c r="Y79" s="258" t="str">
        <f t="shared" si="37"/>
        <v/>
      </c>
      <c r="Z79" s="283" t="str">
        <f t="shared" si="25"/>
        <v/>
      </c>
      <c r="AA79" s="256" t="str">
        <f t="shared" si="30"/>
        <v/>
      </c>
      <c r="AB79" s="257" t="str">
        <f t="shared" si="31"/>
        <v/>
      </c>
      <c r="AC79" s="258" t="str">
        <f t="shared" si="32"/>
        <v/>
      </c>
      <c r="AD79" s="283" t="str">
        <f t="shared" si="33"/>
        <v/>
      </c>
      <c r="AE79" s="256" t="str">
        <f t="shared" si="38"/>
        <v/>
      </c>
      <c r="AF79" s="257" t="str">
        <f t="shared" si="39"/>
        <v/>
      </c>
      <c r="AG79" s="258" t="str">
        <f t="shared" si="40"/>
        <v/>
      </c>
      <c r="AH79" s="283" t="str">
        <f t="shared" si="41"/>
        <v/>
      </c>
      <c r="AI79" s="259">
        <f t="shared" si="42"/>
        <v>21000</v>
      </c>
      <c r="AJ79" s="260" t="str">
        <f t="shared" si="43"/>
        <v/>
      </c>
      <c r="AK79" s="261" t="str">
        <f t="shared" si="44"/>
        <v/>
      </c>
      <c r="AL79" s="429"/>
      <c r="AN79" s="86"/>
      <c r="AO79" s="94"/>
      <c r="AP79" s="94"/>
      <c r="AQ79" s="94"/>
      <c r="AR79" s="94"/>
      <c r="AS79" s="94"/>
      <c r="AT79" s="284"/>
    </row>
    <row r="80" spans="1:47" x14ac:dyDescent="0.25">
      <c r="A80" s="324"/>
      <c r="B80" s="271"/>
      <c r="C80" s="325" t="s">
        <v>567</v>
      </c>
      <c r="D80" s="243"/>
      <c r="E80" s="273"/>
      <c r="F80" s="245"/>
      <c r="G80" s="274"/>
      <c r="H80" s="319"/>
      <c r="I80" s="276" t="str">
        <f t="shared" si="26"/>
        <v/>
      </c>
      <c r="J80" s="277"/>
      <c r="K80" s="249" t="str">
        <f t="shared" si="35"/>
        <v/>
      </c>
      <c r="L80" s="278"/>
      <c r="M80" s="249" t="str">
        <f t="shared" si="2"/>
        <v/>
      </c>
      <c r="N80" s="279"/>
      <c r="O80" s="249" t="str">
        <f t="shared" si="36"/>
        <v/>
      </c>
      <c r="P80" s="280"/>
      <c r="Q80" s="249" t="str">
        <f t="shared" si="27"/>
        <v/>
      </c>
      <c r="R80" s="323"/>
      <c r="S80" s="249" t="str">
        <f>IF(ISBLANK(R80),"",SUM(R80*$E80))</f>
        <v/>
      </c>
      <c r="T80" s="281"/>
      <c r="U80" s="255" t="str">
        <f t="shared" si="5"/>
        <v/>
      </c>
      <c r="V80" s="282"/>
      <c r="W80" s="256" t="str">
        <f t="shared" si="28"/>
        <v/>
      </c>
      <c r="X80" s="257" t="str">
        <f t="shared" si="29"/>
        <v/>
      </c>
      <c r="Y80" s="258" t="str">
        <f t="shared" si="37"/>
        <v/>
      </c>
      <c r="Z80" s="283" t="str">
        <f t="shared" si="25"/>
        <v/>
      </c>
      <c r="AA80" s="256" t="str">
        <f t="shared" si="30"/>
        <v/>
      </c>
      <c r="AB80" s="257" t="str">
        <f t="shared" si="31"/>
        <v/>
      </c>
      <c r="AC80" s="258" t="str">
        <f t="shared" si="32"/>
        <v/>
      </c>
      <c r="AD80" s="283" t="str">
        <f t="shared" si="33"/>
        <v/>
      </c>
      <c r="AE80" s="256" t="str">
        <f t="shared" si="38"/>
        <v/>
      </c>
      <c r="AF80" s="257" t="str">
        <f t="shared" si="39"/>
        <v/>
      </c>
      <c r="AG80" s="258" t="str">
        <f t="shared" si="40"/>
        <v/>
      </c>
      <c r="AH80" s="283" t="str">
        <f t="shared" si="41"/>
        <v/>
      </c>
      <c r="AI80" s="259" t="str">
        <f t="shared" si="42"/>
        <v/>
      </c>
      <c r="AJ80" s="260" t="str">
        <f t="shared" si="43"/>
        <v/>
      </c>
      <c r="AK80" s="261" t="str">
        <f t="shared" si="44"/>
        <v/>
      </c>
      <c r="AL80" s="429"/>
      <c r="AN80" s="86"/>
      <c r="AO80" s="94"/>
      <c r="AP80" s="94"/>
      <c r="AQ80" s="94"/>
      <c r="AR80" s="94"/>
      <c r="AS80" s="94"/>
      <c r="AT80" s="284"/>
    </row>
    <row r="81" spans="1:48" x14ac:dyDescent="0.25">
      <c r="A81" s="210"/>
      <c r="B81" s="241"/>
      <c r="C81" s="326" t="s">
        <v>568</v>
      </c>
      <c r="D81" s="243">
        <f>SUM(J81,L81,N81,P81,R81,T81)</f>
        <v>1</v>
      </c>
      <c r="E81" s="290">
        <v>4485</v>
      </c>
      <c r="F81" s="245">
        <f t="shared" si="0"/>
        <v>4485</v>
      </c>
      <c r="G81" s="246" t="s">
        <v>32</v>
      </c>
      <c r="H81" s="327"/>
      <c r="I81" s="218" t="str">
        <f t="shared" si="26"/>
        <v/>
      </c>
      <c r="J81" s="248"/>
      <c r="K81" s="249" t="str">
        <f t="shared" si="35"/>
        <v/>
      </c>
      <c r="L81" s="266">
        <v>1</v>
      </c>
      <c r="M81" s="249">
        <f t="shared" si="2"/>
        <v>4485</v>
      </c>
      <c r="N81" s="251"/>
      <c r="O81" s="249" t="str">
        <f t="shared" si="36"/>
        <v/>
      </c>
      <c r="P81" s="252"/>
      <c r="Q81" s="249" t="str">
        <f t="shared" si="27"/>
        <v/>
      </c>
      <c r="R81" s="266"/>
      <c r="S81" s="249" t="str">
        <f>IF(ISBLANK(R81),"",SUM(R81*$E81))</f>
        <v/>
      </c>
      <c r="T81" s="254"/>
      <c r="U81" s="255" t="str">
        <f t="shared" si="5"/>
        <v/>
      </c>
      <c r="V81" s="228"/>
      <c r="W81" s="256" t="str">
        <f t="shared" si="28"/>
        <v/>
      </c>
      <c r="X81" s="257" t="str">
        <f t="shared" si="29"/>
        <v/>
      </c>
      <c r="Y81" s="258" t="str">
        <f t="shared" si="37"/>
        <v/>
      </c>
      <c r="Z81" s="232" t="str">
        <f t="shared" si="25"/>
        <v/>
      </c>
      <c r="AA81" s="256" t="str">
        <f t="shared" si="30"/>
        <v/>
      </c>
      <c r="AB81" s="257" t="str">
        <f t="shared" si="31"/>
        <v/>
      </c>
      <c r="AC81" s="258" t="str">
        <f t="shared" si="32"/>
        <v/>
      </c>
      <c r="AD81" s="232" t="str">
        <f t="shared" si="33"/>
        <v/>
      </c>
      <c r="AE81" s="256" t="str">
        <f t="shared" si="38"/>
        <v/>
      </c>
      <c r="AF81" s="257" t="str">
        <f t="shared" si="39"/>
        <v/>
      </c>
      <c r="AG81" s="258" t="str">
        <f t="shared" si="40"/>
        <v/>
      </c>
      <c r="AH81" s="232" t="str">
        <f t="shared" si="41"/>
        <v/>
      </c>
      <c r="AI81" s="259" t="str">
        <f t="shared" si="42"/>
        <v/>
      </c>
      <c r="AJ81" s="260">
        <f t="shared" si="43"/>
        <v>4485</v>
      </c>
      <c r="AK81" s="261" t="str">
        <f t="shared" si="44"/>
        <v/>
      </c>
      <c r="AL81" s="429"/>
      <c r="AN81" s="86"/>
      <c r="AO81" s="94"/>
      <c r="AP81" s="94"/>
      <c r="AQ81" s="94"/>
      <c r="AR81" s="94"/>
      <c r="AS81" s="94"/>
      <c r="AT81" s="284"/>
    </row>
    <row r="82" spans="1:48" x14ac:dyDescent="0.25">
      <c r="A82" s="210"/>
      <c r="B82" s="241"/>
      <c r="C82" s="289" t="s">
        <v>569</v>
      </c>
      <c r="D82" s="243">
        <f t="shared" si="34"/>
        <v>1</v>
      </c>
      <c r="E82" s="290">
        <v>2944</v>
      </c>
      <c r="F82" s="245">
        <f t="shared" si="0"/>
        <v>2944</v>
      </c>
      <c r="G82" s="246" t="s">
        <v>32</v>
      </c>
      <c r="H82" s="327"/>
      <c r="I82" s="218" t="str">
        <f t="shared" si="26"/>
        <v/>
      </c>
      <c r="J82" s="248">
        <v>1</v>
      </c>
      <c r="K82" s="249">
        <f t="shared" si="35"/>
        <v>2944</v>
      </c>
      <c r="L82" s="266"/>
      <c r="M82" s="249" t="str">
        <f t="shared" si="2"/>
        <v/>
      </c>
      <c r="N82" s="251"/>
      <c r="O82" s="249" t="str">
        <f t="shared" si="36"/>
        <v/>
      </c>
      <c r="P82" s="252"/>
      <c r="Q82" s="249" t="str">
        <f t="shared" si="27"/>
        <v/>
      </c>
      <c r="R82" s="266"/>
      <c r="S82" s="249" t="str">
        <f t="shared" si="4"/>
        <v/>
      </c>
      <c r="T82" s="254"/>
      <c r="U82" s="255" t="str">
        <f t="shared" si="5"/>
        <v/>
      </c>
      <c r="V82" s="228"/>
      <c r="W82" s="256" t="str">
        <f t="shared" si="28"/>
        <v/>
      </c>
      <c r="X82" s="257" t="str">
        <f t="shared" si="29"/>
        <v/>
      </c>
      <c r="Y82" s="258" t="str">
        <f t="shared" si="37"/>
        <v/>
      </c>
      <c r="Z82" s="232" t="str">
        <f t="shared" si="25"/>
        <v/>
      </c>
      <c r="AA82" s="256" t="str">
        <f t="shared" si="30"/>
        <v/>
      </c>
      <c r="AB82" s="257" t="str">
        <f t="shared" si="31"/>
        <v/>
      </c>
      <c r="AC82" s="258" t="str">
        <f t="shared" si="32"/>
        <v/>
      </c>
      <c r="AD82" s="232" t="str">
        <f t="shared" si="33"/>
        <v/>
      </c>
      <c r="AE82" s="256" t="str">
        <f t="shared" si="38"/>
        <v/>
      </c>
      <c r="AF82" s="257" t="str">
        <f t="shared" si="39"/>
        <v/>
      </c>
      <c r="AG82" s="258" t="str">
        <f t="shared" si="40"/>
        <v/>
      </c>
      <c r="AH82" s="232" t="str">
        <f t="shared" si="41"/>
        <v/>
      </c>
      <c r="AI82" s="259">
        <f t="shared" si="42"/>
        <v>2944</v>
      </c>
      <c r="AJ82" s="260" t="str">
        <f t="shared" si="43"/>
        <v/>
      </c>
      <c r="AK82" s="261" t="str">
        <f t="shared" si="44"/>
        <v/>
      </c>
      <c r="AL82" s="429"/>
      <c r="AN82" s="86"/>
      <c r="AO82" s="94"/>
      <c r="AP82" s="94"/>
      <c r="AQ82" s="94"/>
      <c r="AR82" s="94"/>
      <c r="AS82" s="94"/>
      <c r="AT82" s="284"/>
    </row>
    <row r="83" spans="1:48" x14ac:dyDescent="0.25">
      <c r="A83" s="210"/>
      <c r="B83" s="241"/>
      <c r="C83" s="289" t="s">
        <v>570</v>
      </c>
      <c r="D83" s="243">
        <f t="shared" si="34"/>
        <v>1</v>
      </c>
      <c r="E83" s="290">
        <v>2770</v>
      </c>
      <c r="F83" s="245">
        <f t="shared" ref="F83:F90" si="45">IFERROR(SUM(D83*E83),"")</f>
        <v>2770</v>
      </c>
      <c r="G83" s="246" t="s">
        <v>32</v>
      </c>
      <c r="H83" s="327"/>
      <c r="I83" s="218" t="str">
        <f t="shared" si="26"/>
        <v/>
      </c>
      <c r="J83" s="248">
        <v>1</v>
      </c>
      <c r="K83" s="249">
        <f t="shared" si="35"/>
        <v>2770</v>
      </c>
      <c r="L83" s="266"/>
      <c r="M83" s="249" t="str">
        <f t="shared" ref="M83:M90" si="46">IF(ISBLANK(L83),"",SUM(L83*$E83))</f>
        <v/>
      </c>
      <c r="N83" s="251"/>
      <c r="O83" s="249" t="str">
        <f t="shared" si="36"/>
        <v/>
      </c>
      <c r="P83" s="252"/>
      <c r="Q83" s="249" t="str">
        <f t="shared" si="27"/>
        <v/>
      </c>
      <c r="R83" s="266"/>
      <c r="S83" s="249" t="str">
        <f t="shared" ref="S83:S90" si="47">IF(ISBLANK(R83),"",SUM(R83*$E83))</f>
        <v/>
      </c>
      <c r="T83" s="254"/>
      <c r="U83" s="255" t="str">
        <f t="shared" ref="U83:U90" si="48">IF(ISBLANK(T83),"",SUM(T83*$E83))</f>
        <v/>
      </c>
      <c r="V83" s="228"/>
      <c r="W83" s="256" t="str">
        <f t="shared" si="28"/>
        <v/>
      </c>
      <c r="X83" s="257" t="str">
        <f t="shared" si="29"/>
        <v/>
      </c>
      <c r="Y83" s="258" t="str">
        <f t="shared" si="37"/>
        <v/>
      </c>
      <c r="Z83" s="232" t="str">
        <f t="shared" si="25"/>
        <v/>
      </c>
      <c r="AA83" s="256" t="str">
        <f t="shared" si="30"/>
        <v/>
      </c>
      <c r="AB83" s="257" t="str">
        <f t="shared" si="31"/>
        <v/>
      </c>
      <c r="AC83" s="258" t="str">
        <f t="shared" si="32"/>
        <v/>
      </c>
      <c r="AD83" s="232" t="str">
        <f t="shared" si="33"/>
        <v/>
      </c>
      <c r="AE83" s="256" t="str">
        <f t="shared" si="38"/>
        <v/>
      </c>
      <c r="AF83" s="257" t="str">
        <f t="shared" si="39"/>
        <v/>
      </c>
      <c r="AG83" s="258" t="str">
        <f t="shared" si="40"/>
        <v/>
      </c>
      <c r="AH83" s="232" t="str">
        <f t="shared" si="41"/>
        <v/>
      </c>
      <c r="AI83" s="259">
        <f t="shared" si="42"/>
        <v>2770</v>
      </c>
      <c r="AJ83" s="260" t="str">
        <f t="shared" si="43"/>
        <v/>
      </c>
      <c r="AK83" s="261" t="str">
        <f t="shared" si="44"/>
        <v/>
      </c>
      <c r="AL83" s="429"/>
      <c r="AS83" s="78"/>
      <c r="AT83" s="270"/>
    </row>
    <row r="84" spans="1:48" x14ac:dyDescent="0.25">
      <c r="A84" s="324"/>
      <c r="B84" s="271"/>
      <c r="C84" s="328" t="s">
        <v>571</v>
      </c>
      <c r="D84" s="243">
        <f t="shared" si="34"/>
        <v>0</v>
      </c>
      <c r="E84" s="273">
        <v>880</v>
      </c>
      <c r="F84" s="245">
        <f t="shared" si="45"/>
        <v>0</v>
      </c>
      <c r="G84" s="274" t="s">
        <v>32</v>
      </c>
      <c r="H84" s="319"/>
      <c r="I84" s="276" t="str">
        <f t="shared" si="26"/>
        <v/>
      </c>
      <c r="J84" s="277"/>
      <c r="K84" s="249" t="str">
        <f t="shared" si="35"/>
        <v/>
      </c>
      <c r="L84" s="278"/>
      <c r="M84" s="249" t="str">
        <f t="shared" si="46"/>
        <v/>
      </c>
      <c r="N84" s="279"/>
      <c r="O84" s="249" t="str">
        <f t="shared" si="36"/>
        <v/>
      </c>
      <c r="P84" s="280"/>
      <c r="Q84" s="249" t="str">
        <f t="shared" si="27"/>
        <v/>
      </c>
      <c r="R84" s="278"/>
      <c r="S84" s="249" t="str">
        <f t="shared" si="47"/>
        <v/>
      </c>
      <c r="T84" s="281"/>
      <c r="U84" s="255" t="str">
        <f t="shared" si="48"/>
        <v/>
      </c>
      <c r="V84" s="282"/>
      <c r="W84" s="256" t="str">
        <f t="shared" si="28"/>
        <v/>
      </c>
      <c r="X84" s="257" t="str">
        <f t="shared" si="29"/>
        <v/>
      </c>
      <c r="Y84" s="258" t="str">
        <f t="shared" si="37"/>
        <v/>
      </c>
      <c r="Z84" s="283" t="str">
        <f t="shared" si="25"/>
        <v/>
      </c>
      <c r="AA84" s="256" t="str">
        <f t="shared" si="30"/>
        <v/>
      </c>
      <c r="AB84" s="257" t="str">
        <f t="shared" si="31"/>
        <v/>
      </c>
      <c r="AC84" s="258" t="str">
        <f t="shared" si="32"/>
        <v/>
      </c>
      <c r="AD84" s="283" t="str">
        <f t="shared" si="33"/>
        <v/>
      </c>
      <c r="AE84" s="256" t="str">
        <f t="shared" si="38"/>
        <v/>
      </c>
      <c r="AF84" s="257" t="str">
        <f t="shared" si="39"/>
        <v/>
      </c>
      <c r="AG84" s="258" t="str">
        <f t="shared" si="40"/>
        <v/>
      </c>
      <c r="AH84" s="283" t="str">
        <f t="shared" si="41"/>
        <v/>
      </c>
      <c r="AI84" s="259" t="str">
        <f t="shared" si="42"/>
        <v/>
      </c>
      <c r="AJ84" s="260" t="str">
        <f t="shared" si="43"/>
        <v/>
      </c>
      <c r="AK84" s="261" t="str">
        <f t="shared" si="44"/>
        <v/>
      </c>
      <c r="AL84" s="429"/>
      <c r="AN84" s="86"/>
      <c r="AO84" s="94"/>
      <c r="AP84" s="94"/>
      <c r="AQ84" s="94"/>
      <c r="AR84" s="94"/>
      <c r="AS84" s="94"/>
      <c r="AT84" s="284"/>
    </row>
    <row r="85" spans="1:48" x14ac:dyDescent="0.25">
      <c r="A85" s="324"/>
      <c r="B85" s="271"/>
      <c r="C85" s="272" t="s">
        <v>572</v>
      </c>
      <c r="D85" s="243">
        <f t="shared" si="34"/>
        <v>1</v>
      </c>
      <c r="E85" s="273">
        <v>2350</v>
      </c>
      <c r="F85" s="245">
        <f t="shared" si="45"/>
        <v>2350</v>
      </c>
      <c r="G85" s="274" t="s">
        <v>32</v>
      </c>
      <c r="H85" s="319"/>
      <c r="I85" s="276" t="str">
        <f t="shared" si="26"/>
        <v/>
      </c>
      <c r="J85" s="277"/>
      <c r="K85" s="249" t="str">
        <f t="shared" si="35"/>
        <v/>
      </c>
      <c r="L85" s="278">
        <v>1</v>
      </c>
      <c r="M85" s="249">
        <f t="shared" si="46"/>
        <v>2350</v>
      </c>
      <c r="N85" s="279"/>
      <c r="O85" s="249" t="str">
        <f t="shared" si="36"/>
        <v/>
      </c>
      <c r="P85" s="280"/>
      <c r="Q85" s="249" t="str">
        <f t="shared" si="27"/>
        <v/>
      </c>
      <c r="R85" s="278"/>
      <c r="S85" s="249" t="str">
        <f t="shared" si="47"/>
        <v/>
      </c>
      <c r="T85" s="281"/>
      <c r="U85" s="255" t="str">
        <f t="shared" si="48"/>
        <v/>
      </c>
      <c r="V85" s="282"/>
      <c r="W85" s="256" t="str">
        <f t="shared" si="28"/>
        <v/>
      </c>
      <c r="X85" s="257" t="str">
        <f t="shared" si="29"/>
        <v/>
      </c>
      <c r="Y85" s="258" t="str">
        <f t="shared" si="37"/>
        <v/>
      </c>
      <c r="Z85" s="283" t="str">
        <f t="shared" si="25"/>
        <v/>
      </c>
      <c r="AA85" s="256" t="str">
        <f t="shared" si="30"/>
        <v/>
      </c>
      <c r="AB85" s="257" t="str">
        <f t="shared" si="31"/>
        <v/>
      </c>
      <c r="AC85" s="258" t="str">
        <f t="shared" si="32"/>
        <v/>
      </c>
      <c r="AD85" s="283" t="str">
        <f t="shared" si="33"/>
        <v/>
      </c>
      <c r="AE85" s="256" t="str">
        <f t="shared" si="38"/>
        <v/>
      </c>
      <c r="AF85" s="257" t="str">
        <f t="shared" si="39"/>
        <v/>
      </c>
      <c r="AG85" s="258" t="str">
        <f t="shared" si="40"/>
        <v/>
      </c>
      <c r="AH85" s="283" t="str">
        <f t="shared" si="41"/>
        <v/>
      </c>
      <c r="AI85" s="259" t="str">
        <f t="shared" si="42"/>
        <v/>
      </c>
      <c r="AJ85" s="260">
        <f t="shared" si="43"/>
        <v>2350</v>
      </c>
      <c r="AK85" s="261" t="str">
        <f t="shared" si="44"/>
        <v/>
      </c>
      <c r="AL85" s="429"/>
      <c r="AN85" s="86"/>
      <c r="AO85" s="94"/>
      <c r="AP85" s="94"/>
      <c r="AQ85" s="94"/>
      <c r="AR85" s="94"/>
      <c r="AS85" s="94"/>
      <c r="AT85" s="284"/>
    </row>
    <row r="86" spans="1:48" x14ac:dyDescent="0.25">
      <c r="A86" s="324"/>
      <c r="B86" s="271"/>
      <c r="C86" s="291" t="s">
        <v>573</v>
      </c>
      <c r="D86" s="243">
        <f t="shared" si="34"/>
        <v>1</v>
      </c>
      <c r="E86" s="273">
        <v>4250</v>
      </c>
      <c r="F86" s="245">
        <f t="shared" si="45"/>
        <v>4250</v>
      </c>
      <c r="G86" s="274" t="s">
        <v>32</v>
      </c>
      <c r="H86" s="319"/>
      <c r="I86" s="276" t="str">
        <f t="shared" si="26"/>
        <v/>
      </c>
      <c r="J86" s="277"/>
      <c r="K86" s="249" t="str">
        <f t="shared" si="35"/>
        <v/>
      </c>
      <c r="L86" s="278"/>
      <c r="M86" s="249" t="str">
        <f t="shared" si="46"/>
        <v/>
      </c>
      <c r="N86" s="279"/>
      <c r="O86" s="249" t="str">
        <f t="shared" si="36"/>
        <v/>
      </c>
      <c r="P86" s="280"/>
      <c r="Q86" s="249" t="str">
        <f t="shared" si="27"/>
        <v/>
      </c>
      <c r="R86" s="278"/>
      <c r="S86" s="249" t="str">
        <f t="shared" si="47"/>
        <v/>
      </c>
      <c r="T86" s="281">
        <v>1</v>
      </c>
      <c r="U86" s="255">
        <f t="shared" si="48"/>
        <v>4250</v>
      </c>
      <c r="V86" s="282"/>
      <c r="W86" s="256" t="str">
        <f t="shared" si="28"/>
        <v/>
      </c>
      <c r="X86" s="257" t="str">
        <f t="shared" si="29"/>
        <v/>
      </c>
      <c r="Y86" s="258" t="str">
        <f t="shared" si="37"/>
        <v/>
      </c>
      <c r="Z86" s="283" t="str">
        <f t="shared" si="25"/>
        <v/>
      </c>
      <c r="AA86" s="256">
        <f t="shared" si="30"/>
        <v>4250</v>
      </c>
      <c r="AB86" s="257" t="str">
        <f t="shared" si="31"/>
        <v/>
      </c>
      <c r="AC86" s="258" t="str">
        <f t="shared" si="32"/>
        <v/>
      </c>
      <c r="AD86" s="283" t="str">
        <f t="shared" si="33"/>
        <v/>
      </c>
      <c r="AE86" s="256" t="str">
        <f t="shared" si="38"/>
        <v/>
      </c>
      <c r="AF86" s="257" t="str">
        <f t="shared" si="39"/>
        <v/>
      </c>
      <c r="AG86" s="258" t="str">
        <f t="shared" si="40"/>
        <v/>
      </c>
      <c r="AH86" s="283" t="str">
        <f t="shared" si="41"/>
        <v/>
      </c>
      <c r="AI86" s="259">
        <f t="shared" si="42"/>
        <v>4250</v>
      </c>
      <c r="AJ86" s="260" t="str">
        <f t="shared" si="43"/>
        <v/>
      </c>
      <c r="AK86" s="261" t="str">
        <f t="shared" si="44"/>
        <v/>
      </c>
      <c r="AL86" s="429"/>
      <c r="AN86" s="86"/>
      <c r="AO86" s="94"/>
      <c r="AP86" s="94"/>
      <c r="AQ86" s="94"/>
      <c r="AR86" s="94"/>
      <c r="AS86" s="94"/>
      <c r="AT86" s="284"/>
    </row>
    <row r="87" spans="1:48" x14ac:dyDescent="0.25">
      <c r="A87" s="324"/>
      <c r="B87" s="271"/>
      <c r="C87" s="328" t="s">
        <v>574</v>
      </c>
      <c r="D87" s="243">
        <f t="shared" si="34"/>
        <v>1</v>
      </c>
      <c r="E87" s="273">
        <v>3100</v>
      </c>
      <c r="F87" s="245">
        <f t="shared" si="45"/>
        <v>3100</v>
      </c>
      <c r="G87" s="274" t="s">
        <v>32</v>
      </c>
      <c r="H87" s="319"/>
      <c r="I87" s="276" t="str">
        <f t="shared" si="26"/>
        <v/>
      </c>
      <c r="J87" s="277">
        <v>1</v>
      </c>
      <c r="K87" s="249">
        <f t="shared" si="35"/>
        <v>3100</v>
      </c>
      <c r="L87" s="278"/>
      <c r="M87" s="249" t="str">
        <f t="shared" si="46"/>
        <v/>
      </c>
      <c r="N87" s="279"/>
      <c r="O87" s="249" t="str">
        <f t="shared" si="36"/>
        <v/>
      </c>
      <c r="P87" s="280"/>
      <c r="Q87" s="249" t="str">
        <f t="shared" si="27"/>
        <v/>
      </c>
      <c r="R87" s="278"/>
      <c r="S87" s="249" t="str">
        <f t="shared" si="47"/>
        <v/>
      </c>
      <c r="T87" s="281"/>
      <c r="U87" s="255" t="str">
        <f t="shared" si="48"/>
        <v/>
      </c>
      <c r="V87" s="282"/>
      <c r="W87" s="256" t="str">
        <f t="shared" si="28"/>
        <v/>
      </c>
      <c r="X87" s="257" t="str">
        <f t="shared" si="29"/>
        <v/>
      </c>
      <c r="Y87" s="258" t="str">
        <f t="shared" si="37"/>
        <v/>
      </c>
      <c r="Z87" s="283" t="str">
        <f t="shared" si="25"/>
        <v/>
      </c>
      <c r="AA87" s="256" t="str">
        <f t="shared" si="30"/>
        <v/>
      </c>
      <c r="AB87" s="257" t="str">
        <f t="shared" si="31"/>
        <v/>
      </c>
      <c r="AC87" s="258" t="str">
        <f t="shared" si="32"/>
        <v/>
      </c>
      <c r="AD87" s="283" t="str">
        <f t="shared" si="33"/>
        <v/>
      </c>
      <c r="AE87" s="256" t="str">
        <f t="shared" si="38"/>
        <v/>
      </c>
      <c r="AF87" s="257" t="str">
        <f t="shared" si="39"/>
        <v/>
      </c>
      <c r="AG87" s="258" t="str">
        <f t="shared" si="40"/>
        <v/>
      </c>
      <c r="AH87" s="283" t="str">
        <f t="shared" si="41"/>
        <v/>
      </c>
      <c r="AI87" s="259">
        <f t="shared" si="42"/>
        <v>3100</v>
      </c>
      <c r="AJ87" s="260" t="str">
        <f t="shared" si="43"/>
        <v/>
      </c>
      <c r="AK87" s="261" t="str">
        <f t="shared" si="44"/>
        <v/>
      </c>
      <c r="AL87" s="429"/>
      <c r="AS87" s="78"/>
      <c r="AT87" s="270"/>
    </row>
    <row r="88" spans="1:48" ht="15.75" customHeight="1" x14ac:dyDescent="0.25">
      <c r="A88" s="324"/>
      <c r="B88" s="271"/>
      <c r="C88" s="329" t="s">
        <v>575</v>
      </c>
      <c r="D88" s="243"/>
      <c r="E88" s="273"/>
      <c r="F88" s="245"/>
      <c r="G88" s="274"/>
      <c r="H88" s="319"/>
      <c r="I88" s="276" t="str">
        <f t="shared" si="26"/>
        <v/>
      </c>
      <c r="J88" s="277"/>
      <c r="K88" s="249" t="str">
        <f t="shared" si="35"/>
        <v/>
      </c>
      <c r="L88" s="278"/>
      <c r="M88" s="249" t="str">
        <f t="shared" si="46"/>
        <v/>
      </c>
      <c r="N88" s="279"/>
      <c r="O88" s="249" t="str">
        <f t="shared" si="36"/>
        <v/>
      </c>
      <c r="P88" s="280"/>
      <c r="Q88" s="249" t="str">
        <f t="shared" si="27"/>
        <v/>
      </c>
      <c r="R88" s="278"/>
      <c r="S88" s="249" t="str">
        <f t="shared" si="47"/>
        <v/>
      </c>
      <c r="T88" s="281"/>
      <c r="U88" s="255" t="str">
        <f t="shared" si="48"/>
        <v/>
      </c>
      <c r="V88" s="282"/>
      <c r="W88" s="256" t="str">
        <f t="shared" si="28"/>
        <v/>
      </c>
      <c r="X88" s="257" t="str">
        <f t="shared" si="29"/>
        <v/>
      </c>
      <c r="Y88" s="258" t="str">
        <f t="shared" si="37"/>
        <v/>
      </c>
      <c r="Z88" s="283" t="str">
        <f t="shared" si="25"/>
        <v/>
      </c>
      <c r="AA88" s="256" t="str">
        <f t="shared" si="30"/>
        <v/>
      </c>
      <c r="AB88" s="257" t="str">
        <f t="shared" si="31"/>
        <v/>
      </c>
      <c r="AC88" s="258" t="str">
        <f t="shared" si="32"/>
        <v/>
      </c>
      <c r="AD88" s="283" t="str">
        <f t="shared" si="33"/>
        <v/>
      </c>
      <c r="AE88" s="256" t="str">
        <f t="shared" si="38"/>
        <v/>
      </c>
      <c r="AF88" s="257" t="str">
        <f t="shared" si="39"/>
        <v/>
      </c>
      <c r="AG88" s="258" t="str">
        <f t="shared" si="40"/>
        <v/>
      </c>
      <c r="AH88" s="283" t="str">
        <f t="shared" si="41"/>
        <v/>
      </c>
      <c r="AI88" s="259" t="str">
        <f t="shared" si="42"/>
        <v/>
      </c>
      <c r="AJ88" s="260" t="str">
        <f t="shared" si="43"/>
        <v/>
      </c>
      <c r="AK88" s="261" t="str">
        <f t="shared" si="44"/>
        <v/>
      </c>
      <c r="AL88" s="429"/>
      <c r="AS88" s="78"/>
      <c r="AT88" s="270"/>
    </row>
    <row r="89" spans="1:48" x14ac:dyDescent="0.25">
      <c r="A89" s="210"/>
      <c r="B89" s="241"/>
      <c r="C89" s="326" t="s">
        <v>576</v>
      </c>
      <c r="D89" s="243">
        <f t="shared" si="34"/>
        <v>2</v>
      </c>
      <c r="E89" s="290">
        <v>620</v>
      </c>
      <c r="F89" s="245">
        <f t="shared" si="45"/>
        <v>1240</v>
      </c>
      <c r="G89" s="246" t="s">
        <v>32</v>
      </c>
      <c r="H89" s="330"/>
      <c r="I89" s="218" t="str">
        <f t="shared" si="26"/>
        <v/>
      </c>
      <c r="J89" s="248"/>
      <c r="K89" s="249" t="str">
        <f t="shared" si="35"/>
        <v/>
      </c>
      <c r="L89" s="266"/>
      <c r="M89" s="249" t="str">
        <f t="shared" si="46"/>
        <v/>
      </c>
      <c r="N89" s="251"/>
      <c r="O89" s="249" t="str">
        <f t="shared" si="36"/>
        <v/>
      </c>
      <c r="P89" s="252"/>
      <c r="Q89" s="249" t="str">
        <f t="shared" si="27"/>
        <v/>
      </c>
      <c r="R89" s="266">
        <v>2</v>
      </c>
      <c r="S89" s="249">
        <f t="shared" si="47"/>
        <v>1240</v>
      </c>
      <c r="T89" s="254"/>
      <c r="U89" s="255" t="str">
        <f t="shared" si="48"/>
        <v/>
      </c>
      <c r="V89" s="228"/>
      <c r="W89" s="256">
        <f t="shared" si="28"/>
        <v>1010.0266011860172</v>
      </c>
      <c r="X89" s="257">
        <f t="shared" si="29"/>
        <v>229.9733988139829</v>
      </c>
      <c r="Y89" s="258">
        <f t="shared" si="37"/>
        <v>0</v>
      </c>
      <c r="Z89" s="232" t="str">
        <f t="shared" si="25"/>
        <v/>
      </c>
      <c r="AA89" s="256" t="str">
        <f t="shared" si="30"/>
        <v/>
      </c>
      <c r="AB89" s="257" t="str">
        <f t="shared" si="31"/>
        <v/>
      </c>
      <c r="AC89" s="258" t="str">
        <f t="shared" si="32"/>
        <v/>
      </c>
      <c r="AD89" s="232" t="str">
        <f t="shared" si="33"/>
        <v/>
      </c>
      <c r="AE89" s="256" t="str">
        <f t="shared" si="38"/>
        <v/>
      </c>
      <c r="AF89" s="257" t="str">
        <f t="shared" si="39"/>
        <v/>
      </c>
      <c r="AG89" s="258" t="str">
        <f t="shared" si="40"/>
        <v/>
      </c>
      <c r="AH89" s="232" t="str">
        <f t="shared" si="41"/>
        <v/>
      </c>
      <c r="AI89" s="259">
        <f t="shared" si="42"/>
        <v>1010.0266011860172</v>
      </c>
      <c r="AJ89" s="260">
        <f t="shared" si="43"/>
        <v>229.9733988139829</v>
      </c>
      <c r="AK89" s="261" t="str">
        <f t="shared" si="44"/>
        <v/>
      </c>
      <c r="AL89" s="429"/>
      <c r="AS89" s="78"/>
      <c r="AT89" s="270"/>
    </row>
    <row r="90" spans="1:48" x14ac:dyDescent="0.25">
      <c r="A90" s="210"/>
      <c r="B90" s="241"/>
      <c r="C90" s="289" t="s">
        <v>577</v>
      </c>
      <c r="D90" s="243">
        <f t="shared" si="34"/>
        <v>2</v>
      </c>
      <c r="E90" s="290">
        <v>800</v>
      </c>
      <c r="F90" s="245">
        <f t="shared" si="45"/>
        <v>1600</v>
      </c>
      <c r="G90" s="246" t="s">
        <v>32</v>
      </c>
      <c r="H90" s="330"/>
      <c r="I90" s="218" t="str">
        <f t="shared" si="26"/>
        <v/>
      </c>
      <c r="J90" s="248"/>
      <c r="K90" s="249" t="str">
        <f t="shared" si="35"/>
        <v/>
      </c>
      <c r="L90" s="266"/>
      <c r="M90" s="249" t="str">
        <f t="shared" si="46"/>
        <v/>
      </c>
      <c r="N90" s="251"/>
      <c r="O90" s="249" t="str">
        <f t="shared" si="36"/>
        <v/>
      </c>
      <c r="P90" s="252"/>
      <c r="Q90" s="249" t="str">
        <f t="shared" si="27"/>
        <v/>
      </c>
      <c r="R90" s="266">
        <v>2</v>
      </c>
      <c r="S90" s="249">
        <f t="shared" si="47"/>
        <v>1600</v>
      </c>
      <c r="T90" s="254"/>
      <c r="U90" s="255" t="str">
        <f t="shared" si="48"/>
        <v/>
      </c>
      <c r="V90" s="228"/>
      <c r="W90" s="256">
        <f t="shared" si="28"/>
        <v>1303.2601305626026</v>
      </c>
      <c r="X90" s="257">
        <f t="shared" si="29"/>
        <v>296.73986943739726</v>
      </c>
      <c r="Y90" s="258">
        <f t="shared" si="37"/>
        <v>0</v>
      </c>
      <c r="Z90" s="232" t="str">
        <f t="shared" si="25"/>
        <v/>
      </c>
      <c r="AA90" s="256" t="str">
        <f t="shared" si="30"/>
        <v/>
      </c>
      <c r="AB90" s="257" t="str">
        <f t="shared" si="31"/>
        <v/>
      </c>
      <c r="AC90" s="258" t="str">
        <f t="shared" si="32"/>
        <v/>
      </c>
      <c r="AD90" s="232" t="str">
        <f t="shared" si="33"/>
        <v/>
      </c>
      <c r="AE90" s="256" t="str">
        <f t="shared" si="38"/>
        <v/>
      </c>
      <c r="AF90" s="257" t="str">
        <f t="shared" si="39"/>
        <v/>
      </c>
      <c r="AG90" s="258" t="str">
        <f t="shared" si="40"/>
        <v/>
      </c>
      <c r="AH90" s="232" t="str">
        <f t="shared" si="41"/>
        <v/>
      </c>
      <c r="AI90" s="259">
        <f t="shared" si="42"/>
        <v>1303.2601305626026</v>
      </c>
      <c r="AJ90" s="260">
        <f t="shared" si="43"/>
        <v>296.73986943739726</v>
      </c>
      <c r="AK90" s="261" t="str">
        <f t="shared" si="44"/>
        <v/>
      </c>
      <c r="AL90" s="429"/>
      <c r="AS90" s="78"/>
      <c r="AT90" s="270"/>
    </row>
    <row r="91" spans="1:48" ht="15.75" thickBot="1" x14ac:dyDescent="0.3">
      <c r="A91" s="210"/>
      <c r="B91" s="241"/>
      <c r="C91" s="331"/>
      <c r="D91" s="332"/>
      <c r="E91" s="333"/>
      <c r="F91" s="334"/>
      <c r="G91" s="335"/>
      <c r="H91" s="336"/>
      <c r="I91" s="337" t="str">
        <f t="shared" si="26"/>
        <v/>
      </c>
      <c r="J91" s="338"/>
      <c r="K91" s="339" t="str">
        <f t="shared" si="35"/>
        <v/>
      </c>
      <c r="L91" s="340"/>
      <c r="M91" s="339"/>
      <c r="N91" s="341"/>
      <c r="O91" s="339"/>
      <c r="P91" s="342"/>
      <c r="Q91" s="339"/>
      <c r="R91" s="340"/>
      <c r="S91" s="339"/>
      <c r="T91" s="343"/>
      <c r="U91" s="344"/>
      <c r="V91" s="228"/>
      <c r="W91" s="345"/>
      <c r="X91" s="346"/>
      <c r="Y91" s="347"/>
      <c r="Z91" s="232"/>
      <c r="AA91" s="345"/>
      <c r="AB91" s="346" t="str">
        <f t="shared" si="31"/>
        <v/>
      </c>
      <c r="AC91" s="347" t="str">
        <f t="shared" si="32"/>
        <v/>
      </c>
      <c r="AD91" s="348"/>
      <c r="AE91" s="345" t="str">
        <f t="shared" si="38"/>
        <v/>
      </c>
      <c r="AF91" s="346" t="str">
        <f t="shared" si="39"/>
        <v/>
      </c>
      <c r="AG91" s="347" t="str">
        <f t="shared" si="40"/>
        <v/>
      </c>
      <c r="AH91" s="349" t="str">
        <f t="shared" si="41"/>
        <v/>
      </c>
      <c r="AI91" s="350" t="str">
        <f t="shared" si="42"/>
        <v/>
      </c>
      <c r="AJ91" s="351" t="str">
        <f t="shared" si="43"/>
        <v/>
      </c>
      <c r="AK91" s="352" t="str">
        <f t="shared" si="44"/>
        <v/>
      </c>
      <c r="AL91" s="429"/>
    </row>
    <row r="92" spans="1:48" s="353" customFormat="1" x14ac:dyDescent="0.25">
      <c r="B92" s="354"/>
      <c r="C92" s="355" t="s">
        <v>578</v>
      </c>
      <c r="D92" s="356"/>
      <c r="E92" s="357"/>
      <c r="F92" s="358">
        <f>SUM(F7:F91)</f>
        <v>501125.89</v>
      </c>
      <c r="G92" s="357"/>
      <c r="H92" s="357"/>
      <c r="I92" s="357"/>
      <c r="J92" s="359"/>
      <c r="K92" s="358">
        <f>SUM(K7:K91)</f>
        <v>321051.83999999997</v>
      </c>
      <c r="L92" s="360"/>
      <c r="M92" s="358">
        <f>SUM(M7:M91)</f>
        <v>84679.1</v>
      </c>
      <c r="N92" s="358"/>
      <c r="O92" s="358">
        <f>SUM(O7:O91)</f>
        <v>0</v>
      </c>
      <c r="P92" s="358"/>
      <c r="Q92" s="358">
        <f>SUM(Q7:Q91)</f>
        <v>14810.75</v>
      </c>
      <c r="R92" s="360"/>
      <c r="S92" s="358">
        <f>SUM(S7:S91)</f>
        <v>57022.5</v>
      </c>
      <c r="T92" s="358"/>
      <c r="U92" s="358">
        <f>SUM(U7:U91)</f>
        <v>23561.7</v>
      </c>
      <c r="V92" s="361"/>
      <c r="W92" s="358">
        <f t="shared" ref="W92:Y92" si="49">SUM(W7:W91)</f>
        <v>46446.969246878754</v>
      </c>
      <c r="X92" s="358">
        <f t="shared" si="49"/>
        <v>10575.53075312124</v>
      </c>
      <c r="Y92" s="358">
        <f t="shared" si="49"/>
        <v>0</v>
      </c>
      <c r="Z92" s="362"/>
      <c r="AA92" s="358">
        <f t="shared" ref="AA92:AC92" si="50">SUM(AA7:AA91)</f>
        <v>23561.7</v>
      </c>
      <c r="AB92" s="358">
        <f t="shared" si="50"/>
        <v>0</v>
      </c>
      <c r="AC92" s="358">
        <f t="shared" si="50"/>
        <v>0</v>
      </c>
      <c r="AD92" s="358" t="str">
        <f t="shared" ref="AD92:AD102" si="51">IF(SUM(U92)=SUM(AA92:AC92),"","K")</f>
        <v/>
      </c>
      <c r="AE92" s="358"/>
      <c r="AF92" s="358"/>
      <c r="AG92" s="358"/>
      <c r="AH92" s="358"/>
      <c r="AI92" s="358">
        <f t="shared" ref="AI92:AK92" si="52">SUM(AI7:AI91)</f>
        <v>402168.57174687891</v>
      </c>
      <c r="AJ92" s="358">
        <f t="shared" si="52"/>
        <v>98957.318253121251</v>
      </c>
      <c r="AK92" s="363">
        <f t="shared" si="52"/>
        <v>0</v>
      </c>
      <c r="AN92" s="364"/>
      <c r="AO92" s="364"/>
      <c r="AP92" s="364"/>
      <c r="AQ92" s="364"/>
      <c r="AR92" s="364"/>
      <c r="AS92" s="364"/>
      <c r="AT92" s="364"/>
    </row>
    <row r="93" spans="1:48" s="353" customFormat="1" x14ac:dyDescent="0.25">
      <c r="B93" s="365"/>
      <c r="C93" s="366" t="s">
        <v>579</v>
      </c>
      <c r="D93" s="367"/>
      <c r="E93" s="368"/>
      <c r="F93" s="369">
        <f>SUMIF($G$7:$G$91,"x",$F$7:$F$91)</f>
        <v>501125.89</v>
      </c>
      <c r="G93" s="368"/>
      <c r="H93" s="368"/>
      <c r="I93" s="368"/>
      <c r="J93" s="370"/>
      <c r="K93" s="368">
        <f>SUMIF($G$7:$G$91,"x",K$7:K$91)</f>
        <v>321051.83999999997</v>
      </c>
      <c r="L93" s="371"/>
      <c r="M93" s="368">
        <f>SUMIF($G$7:$G$91,"x",M$7:M$91)</f>
        <v>84679.1</v>
      </c>
      <c r="N93" s="368"/>
      <c r="O93" s="368">
        <f>SUMIF($G$7:$G$91,"x",O$7:O$91)</f>
        <v>0</v>
      </c>
      <c r="P93" s="368"/>
      <c r="Q93" s="368">
        <f>SUMIF($G$7:$G$91,"x",Q$7:Q$91)</f>
        <v>14810.75</v>
      </c>
      <c r="R93" s="371"/>
      <c r="S93" s="368">
        <f>SUMIF($G$7:$G$91,"x",S$7:S$91)</f>
        <v>57022.5</v>
      </c>
      <c r="T93" s="368"/>
      <c r="U93" s="368">
        <f>SUMIF($G$7:$G$91,"x",U$7:U$91)</f>
        <v>23561.7</v>
      </c>
      <c r="V93" s="368"/>
      <c r="W93" s="368">
        <f>SUMIF($G$7:$G$91,"x",W$7:W$91)</f>
        <v>46446.969246878754</v>
      </c>
      <c r="X93" s="368">
        <f>SUMIF($G$7:$G$91,"x",X$7:X$91)</f>
        <v>10575.53075312124</v>
      </c>
      <c r="Y93" s="368">
        <f>SUMIF($G$7:$G$91,"x",Y$7:Y$91)</f>
        <v>0</v>
      </c>
      <c r="Z93" s="370"/>
      <c r="AA93" s="368">
        <f>SUMIF($G$7:$G$91,"x",AA$7:AA$91)</f>
        <v>23561.7</v>
      </c>
      <c r="AB93" s="368">
        <f>SUMIF($G$7:$G$91,"x",AB$7:AB$91)</f>
        <v>0</v>
      </c>
      <c r="AC93" s="368">
        <f>SUMIF($G$7:$G$91,"x",AC$7:AC$91)</f>
        <v>0</v>
      </c>
      <c r="AD93" s="370" t="str">
        <f t="shared" si="51"/>
        <v/>
      </c>
      <c r="AE93" s="370"/>
      <c r="AF93" s="370"/>
      <c r="AG93" s="370"/>
      <c r="AH93" s="370"/>
      <c r="AI93" s="368">
        <f>SUMIF($G$7:$G$91,"x",AI$7:AI$91)</f>
        <v>402168.57174687891</v>
      </c>
      <c r="AJ93" s="368">
        <f>SUMIF($G$7:$G$91,"x",AJ$7:AJ$91)</f>
        <v>98957.318253121251</v>
      </c>
      <c r="AK93" s="372">
        <f>SUMIF($G$7:$G$91,"x",AK$7:AK$91)</f>
        <v>0</v>
      </c>
      <c r="AU93" s="364"/>
      <c r="AV93" s="364"/>
    </row>
    <row r="94" spans="1:48" s="364" customFormat="1" x14ac:dyDescent="0.25">
      <c r="A94" s="353"/>
      <c r="B94" s="365"/>
      <c r="C94" s="366" t="s">
        <v>580</v>
      </c>
      <c r="D94" s="367"/>
      <c r="E94" s="368"/>
      <c r="F94" s="373">
        <f>SUMIF($H$7:$H$91,"x",$F$7:$F$91)</f>
        <v>0</v>
      </c>
      <c r="G94" s="368"/>
      <c r="H94" s="368"/>
      <c r="I94" s="368"/>
      <c r="J94" s="370"/>
      <c r="K94" s="368">
        <f>SUMIF($H$7:$H$91,"x",K$7:K$91)</f>
        <v>0</v>
      </c>
      <c r="L94" s="371"/>
      <c r="M94" s="368">
        <f>SUMIF($H$7:$H$91,"x",M$7:M$91)</f>
        <v>0</v>
      </c>
      <c r="N94" s="368"/>
      <c r="O94" s="368">
        <f>SUMIF($H$7:$H$91,"x",O$7:O$91)</f>
        <v>0</v>
      </c>
      <c r="P94" s="368"/>
      <c r="Q94" s="368">
        <f>SUMIF($H$7:$H$91,"x",Q$7:Q$91)</f>
        <v>0</v>
      </c>
      <c r="R94" s="371"/>
      <c r="S94" s="368">
        <f>SUMIF($H$7:$H$91,"x",S$7:S$91)</f>
        <v>0</v>
      </c>
      <c r="T94" s="368"/>
      <c r="U94" s="368">
        <f>SUMIF($H$7:$H$91,"x",U$7:U$91)</f>
        <v>0</v>
      </c>
      <c r="V94" s="368"/>
      <c r="W94" s="368">
        <f>SUMIF($H$7:$H$91,"x",W$7:W$91)</f>
        <v>0</v>
      </c>
      <c r="X94" s="368">
        <f>SUMIF($H$7:$H$91,"x",X$7:X$91)</f>
        <v>0</v>
      </c>
      <c r="Y94" s="368">
        <f>SUMIF($H$7:$H$91,"x",Y$7:Y$91)</f>
        <v>0</v>
      </c>
      <c r="Z94" s="370"/>
      <c r="AA94" s="368">
        <f>SUMIF($H$7:$H$91,"x",AA$7:AA$91)</f>
        <v>0</v>
      </c>
      <c r="AB94" s="368">
        <f>SUMIF($H$7:$H$91,"x",AB$7:AB$91)</f>
        <v>0</v>
      </c>
      <c r="AC94" s="368">
        <f>SUMIF($H$7:$H$91,"x",AC$7:AC$91)</f>
        <v>0</v>
      </c>
      <c r="AD94" s="370" t="str">
        <f t="shared" si="51"/>
        <v/>
      </c>
      <c r="AE94" s="370"/>
      <c r="AF94" s="370"/>
      <c r="AG94" s="370"/>
      <c r="AH94" s="370"/>
      <c r="AI94" s="368">
        <f>SUMIF($H$7:$H$91,"x",AI$7:AI$91)</f>
        <v>0</v>
      </c>
      <c r="AJ94" s="368">
        <f>SUMIF($H$7:$H$91,"x",AJ$7:AJ$91)</f>
        <v>0</v>
      </c>
      <c r="AK94" s="372">
        <f>SUMIF($H$7:$H$91,"x",AK$7:AK$91)</f>
        <v>0</v>
      </c>
      <c r="AL94" s="353"/>
    </row>
    <row r="95" spans="1:48" s="364" customFormat="1" x14ac:dyDescent="0.25">
      <c r="A95" s="353"/>
      <c r="B95" s="365"/>
      <c r="C95" s="374" t="s">
        <v>41</v>
      </c>
      <c r="D95" s="375"/>
      <c r="E95" s="376"/>
      <c r="F95" s="377">
        <f>F92*2.5%</f>
        <v>12528.147250000002</v>
      </c>
      <c r="G95" s="378"/>
      <c r="H95" s="378"/>
      <c r="I95" s="378"/>
      <c r="J95" s="379"/>
      <c r="K95" s="379">
        <f>K92*2.5%</f>
        <v>8026.2959999999994</v>
      </c>
      <c r="L95" s="379"/>
      <c r="M95" s="379">
        <f>M92*2.5%</f>
        <v>2116.9775000000004</v>
      </c>
      <c r="N95" s="379"/>
      <c r="O95" s="379">
        <f>O92*2.5%</f>
        <v>0</v>
      </c>
      <c r="P95" s="379"/>
      <c r="Q95" s="379">
        <f>Q92*2.5%</f>
        <v>370.26875000000001</v>
      </c>
      <c r="R95" s="379"/>
      <c r="S95" s="379">
        <f>S92*2.5%</f>
        <v>1425.5625</v>
      </c>
      <c r="T95" s="379"/>
      <c r="U95" s="379">
        <f>U92*2.5%</f>
        <v>589.04250000000002</v>
      </c>
      <c r="V95" s="379"/>
      <c r="W95" s="379">
        <f t="shared" ref="W95:Y95" si="53">W92*2.5%</f>
        <v>1161.1742311719688</v>
      </c>
      <c r="X95" s="379">
        <f t="shared" si="53"/>
        <v>264.38826882803102</v>
      </c>
      <c r="Y95" s="379">
        <f t="shared" si="53"/>
        <v>0</v>
      </c>
      <c r="Z95" s="379"/>
      <c r="AA95" s="379">
        <f t="shared" ref="AA95:AC95" si="54">AA92*2.5%</f>
        <v>589.04250000000002</v>
      </c>
      <c r="AB95" s="379">
        <f t="shared" si="54"/>
        <v>0</v>
      </c>
      <c r="AC95" s="379">
        <f t="shared" si="54"/>
        <v>0</v>
      </c>
      <c r="AD95" s="379" t="str">
        <f t="shared" si="51"/>
        <v/>
      </c>
      <c r="AE95" s="379"/>
      <c r="AF95" s="379"/>
      <c r="AG95" s="379"/>
      <c r="AH95" s="379"/>
      <c r="AI95" s="379">
        <f t="shared" ref="AI95:AK95" si="55">AI92*2.5%</f>
        <v>10054.214293671974</v>
      </c>
      <c r="AJ95" s="379">
        <f t="shared" si="55"/>
        <v>2473.9329563280317</v>
      </c>
      <c r="AK95" s="380">
        <f t="shared" si="55"/>
        <v>0</v>
      </c>
      <c r="AL95" s="353"/>
      <c r="AU95" s="353"/>
      <c r="AV95" s="353"/>
    </row>
    <row r="96" spans="1:48" s="353" customFormat="1" x14ac:dyDescent="0.25">
      <c r="B96" s="365"/>
      <c r="C96" s="366" t="s">
        <v>579</v>
      </c>
      <c r="D96" s="371"/>
      <c r="E96" s="367"/>
      <c r="F96" s="368">
        <f>IFERROR(F95*F93/F92,0)</f>
        <v>12528.147250000002</v>
      </c>
      <c r="G96" s="370"/>
      <c r="H96" s="370"/>
      <c r="I96" s="370"/>
      <c r="J96" s="368"/>
      <c r="K96" s="368">
        <f>IFERROR(K95*K93/K92,0)</f>
        <v>8026.2959999999994</v>
      </c>
      <c r="L96" s="368"/>
      <c r="M96" s="368">
        <f>IFERROR(M95*M93/M92,0)</f>
        <v>2116.9775000000004</v>
      </c>
      <c r="N96" s="368"/>
      <c r="O96" s="368">
        <f>IFERROR(O95*O93/O92,0)</f>
        <v>0</v>
      </c>
      <c r="P96" s="368"/>
      <c r="Q96" s="368">
        <f>IFERROR(Q95*Q93/Q92,0)</f>
        <v>370.26875000000001</v>
      </c>
      <c r="R96" s="368"/>
      <c r="S96" s="368">
        <f>IFERROR(S95*S93/S92,0)</f>
        <v>1425.5625</v>
      </c>
      <c r="T96" s="368"/>
      <c r="U96" s="368">
        <f>IFERROR(U95*U93/U92,0)</f>
        <v>589.04250000000002</v>
      </c>
      <c r="V96" s="368"/>
      <c r="W96" s="368">
        <f t="shared" ref="W96:Y96" si="56">IFERROR(W95*W93/W92,0)</f>
        <v>1161.1742311719688</v>
      </c>
      <c r="X96" s="368">
        <f t="shared" si="56"/>
        <v>264.38826882803102</v>
      </c>
      <c r="Y96" s="368">
        <f t="shared" si="56"/>
        <v>0</v>
      </c>
      <c r="Z96" s="368"/>
      <c r="AA96" s="368">
        <f t="shared" ref="AA96:AC96" si="57">IFERROR(AA95*AA93/AA92,0)</f>
        <v>589.04250000000002</v>
      </c>
      <c r="AB96" s="368">
        <f t="shared" si="57"/>
        <v>0</v>
      </c>
      <c r="AC96" s="368">
        <f t="shared" si="57"/>
        <v>0</v>
      </c>
      <c r="AD96" s="368" t="str">
        <f t="shared" si="51"/>
        <v/>
      </c>
      <c r="AE96" s="368"/>
      <c r="AF96" s="368"/>
      <c r="AG96" s="368"/>
      <c r="AH96" s="368"/>
      <c r="AI96" s="368">
        <f t="shared" ref="AI96:AK96" si="58">IFERROR(AI95*AI93/AI92,0)</f>
        <v>10054.214293671974</v>
      </c>
      <c r="AJ96" s="368">
        <f t="shared" si="58"/>
        <v>2473.9329563280317</v>
      </c>
      <c r="AK96" s="372">
        <f t="shared" si="58"/>
        <v>0</v>
      </c>
      <c r="AU96" s="364"/>
      <c r="AV96" s="364"/>
    </row>
    <row r="97" spans="1:48" s="364" customFormat="1" x14ac:dyDescent="0.25">
      <c r="A97" s="353"/>
      <c r="B97" s="365"/>
      <c r="C97" s="366" t="s">
        <v>580</v>
      </c>
      <c r="D97" s="371"/>
      <c r="E97" s="367"/>
      <c r="F97" s="368">
        <f>IFERROR(F95*F94/F92,0)</f>
        <v>0</v>
      </c>
      <c r="G97" s="370"/>
      <c r="H97" s="370"/>
      <c r="I97" s="370"/>
      <c r="J97" s="368"/>
      <c r="K97" s="368">
        <f>IFERROR(K95*K94/K92,0)</f>
        <v>0</v>
      </c>
      <c r="L97" s="368"/>
      <c r="M97" s="368">
        <f>IFERROR(M95*M94/M92,0)</f>
        <v>0</v>
      </c>
      <c r="N97" s="368"/>
      <c r="O97" s="368">
        <f>IFERROR(O95*O94/O92,0)</f>
        <v>0</v>
      </c>
      <c r="P97" s="368"/>
      <c r="Q97" s="368">
        <f>IFERROR(Q95*Q94/Q92,0)</f>
        <v>0</v>
      </c>
      <c r="R97" s="368"/>
      <c r="S97" s="368">
        <f>IFERROR(S95*S94/S92,0)</f>
        <v>0</v>
      </c>
      <c r="T97" s="368"/>
      <c r="U97" s="368">
        <f>IFERROR(U95*U94/U92,0)</f>
        <v>0</v>
      </c>
      <c r="V97" s="368"/>
      <c r="W97" s="368">
        <f t="shared" ref="W97:Y97" si="59">IFERROR(W95*W94/W92,0)</f>
        <v>0</v>
      </c>
      <c r="X97" s="368">
        <f t="shared" si="59"/>
        <v>0</v>
      </c>
      <c r="Y97" s="368">
        <f t="shared" si="59"/>
        <v>0</v>
      </c>
      <c r="Z97" s="368"/>
      <c r="AA97" s="368">
        <f t="shared" ref="AA97:AC97" si="60">IFERROR(AA95*AA94/AA92,0)</f>
        <v>0</v>
      </c>
      <c r="AB97" s="368">
        <f t="shared" si="60"/>
        <v>0</v>
      </c>
      <c r="AC97" s="368">
        <f t="shared" si="60"/>
        <v>0</v>
      </c>
      <c r="AD97" s="368" t="str">
        <f t="shared" si="51"/>
        <v/>
      </c>
      <c r="AE97" s="368"/>
      <c r="AF97" s="368"/>
      <c r="AG97" s="368"/>
      <c r="AH97" s="368"/>
      <c r="AI97" s="368">
        <f t="shared" ref="AI97:AK97" si="61">IFERROR(AI95*AI94/AI92,0)</f>
        <v>0</v>
      </c>
      <c r="AJ97" s="368">
        <f t="shared" si="61"/>
        <v>0</v>
      </c>
      <c r="AK97" s="372">
        <f t="shared" si="61"/>
        <v>0</v>
      </c>
      <c r="AL97" s="353"/>
    </row>
    <row r="98" spans="1:48" s="364" customFormat="1" x14ac:dyDescent="0.25">
      <c r="A98" s="353"/>
      <c r="B98" s="365"/>
      <c r="C98" s="381" t="s">
        <v>581</v>
      </c>
      <c r="D98" s="382"/>
      <c r="E98" s="382"/>
      <c r="F98" s="382">
        <f>SUM(F93:F95)</f>
        <v>513654.03724999999</v>
      </c>
      <c r="G98" s="382"/>
      <c r="H98" s="382"/>
      <c r="I98" s="382"/>
      <c r="J98" s="382"/>
      <c r="K98" s="382">
        <f>K92+K95</f>
        <v>329078.13599999994</v>
      </c>
      <c r="L98" s="382"/>
      <c r="M98" s="382">
        <f>M92+M95</f>
        <v>86796.077499999999</v>
      </c>
      <c r="N98" s="382"/>
      <c r="O98" s="382">
        <f>O92+O95</f>
        <v>0</v>
      </c>
      <c r="P98" s="382"/>
      <c r="Q98" s="382">
        <f>Q92+Q95</f>
        <v>15181.018749999999</v>
      </c>
      <c r="R98" s="382"/>
      <c r="S98" s="382">
        <f>S92+S95</f>
        <v>58448.0625</v>
      </c>
      <c r="T98" s="382"/>
      <c r="U98" s="382">
        <f>U92+U95</f>
        <v>24150.7425</v>
      </c>
      <c r="V98" s="383"/>
      <c r="W98" s="382">
        <f t="shared" ref="W98:Y100" si="62">W92+W95</f>
        <v>47608.143478050726</v>
      </c>
      <c r="X98" s="382">
        <f t="shared" si="62"/>
        <v>10839.919021949272</v>
      </c>
      <c r="Y98" s="382">
        <f t="shared" si="62"/>
        <v>0</v>
      </c>
      <c r="Z98" s="382"/>
      <c r="AA98" s="382">
        <f t="shared" ref="AA98:AC100" si="63">AA92+AA95</f>
        <v>24150.7425</v>
      </c>
      <c r="AB98" s="382">
        <f t="shared" si="63"/>
        <v>0</v>
      </c>
      <c r="AC98" s="382">
        <f t="shared" si="63"/>
        <v>0</v>
      </c>
      <c r="AD98" s="382" t="str">
        <f t="shared" si="51"/>
        <v/>
      </c>
      <c r="AE98" s="382"/>
      <c r="AF98" s="382"/>
      <c r="AG98" s="382"/>
      <c r="AH98" s="382"/>
      <c r="AI98" s="382">
        <f t="shared" ref="AI98:AK100" si="64">AI92+AI95</f>
        <v>412222.78604055085</v>
      </c>
      <c r="AJ98" s="382">
        <f t="shared" si="64"/>
        <v>101431.25120944928</v>
      </c>
      <c r="AK98" s="384">
        <f t="shared" si="64"/>
        <v>0</v>
      </c>
      <c r="AL98" s="353"/>
      <c r="AU98" s="353"/>
      <c r="AV98" s="353"/>
    </row>
    <row r="99" spans="1:48" s="353" customFormat="1" x14ac:dyDescent="0.25">
      <c r="B99" s="365"/>
      <c r="C99" s="366" t="s">
        <v>582</v>
      </c>
      <c r="D99" s="368"/>
      <c r="E99" s="368"/>
      <c r="F99" s="369">
        <f>F93+F96</f>
        <v>513654.03724999999</v>
      </c>
      <c r="G99" s="368"/>
      <c r="H99" s="368"/>
      <c r="I99" s="368"/>
      <c r="J99" s="368"/>
      <c r="K99" s="368">
        <f t="shared" ref="K99:K100" si="65">K93+K96</f>
        <v>329078.13599999994</v>
      </c>
      <c r="L99" s="368"/>
      <c r="M99" s="368">
        <f t="shared" ref="M99:M100" si="66">M93+M96</f>
        <v>86796.077499999999</v>
      </c>
      <c r="N99" s="368"/>
      <c r="O99" s="368">
        <f t="shared" ref="O99:O100" si="67">O93+O96</f>
        <v>0</v>
      </c>
      <c r="P99" s="368"/>
      <c r="Q99" s="368">
        <f t="shared" ref="Q99:Q100" si="68">Q93+Q96</f>
        <v>15181.018749999999</v>
      </c>
      <c r="R99" s="368"/>
      <c r="S99" s="368">
        <f t="shared" ref="S99:S100" si="69">S93+S96</f>
        <v>58448.0625</v>
      </c>
      <c r="T99" s="368"/>
      <c r="U99" s="368">
        <f t="shared" ref="U99:U100" si="70">U93+U96</f>
        <v>24150.7425</v>
      </c>
      <c r="V99" s="368"/>
      <c r="W99" s="368">
        <f t="shared" si="62"/>
        <v>47608.143478050726</v>
      </c>
      <c r="X99" s="368">
        <f t="shared" si="62"/>
        <v>10839.919021949272</v>
      </c>
      <c r="Y99" s="368">
        <f t="shared" si="62"/>
        <v>0</v>
      </c>
      <c r="Z99" s="368"/>
      <c r="AA99" s="368">
        <f t="shared" si="63"/>
        <v>24150.7425</v>
      </c>
      <c r="AB99" s="368">
        <f t="shared" si="63"/>
        <v>0</v>
      </c>
      <c r="AC99" s="368">
        <f t="shared" si="63"/>
        <v>0</v>
      </c>
      <c r="AD99" s="368" t="str">
        <f t="shared" si="51"/>
        <v/>
      </c>
      <c r="AE99" s="368"/>
      <c r="AF99" s="368"/>
      <c r="AG99" s="368"/>
      <c r="AH99" s="368"/>
      <c r="AI99" s="368">
        <f t="shared" si="64"/>
        <v>412222.78604055085</v>
      </c>
      <c r="AJ99" s="368">
        <f t="shared" si="64"/>
        <v>101431.25120944928</v>
      </c>
      <c r="AK99" s="372">
        <f t="shared" si="64"/>
        <v>0</v>
      </c>
      <c r="AU99" s="364"/>
      <c r="AV99" s="364"/>
    </row>
    <row r="100" spans="1:48" s="364" customFormat="1" x14ac:dyDescent="0.25">
      <c r="A100" s="353"/>
      <c r="B100" s="365"/>
      <c r="C100" s="366" t="s">
        <v>583</v>
      </c>
      <c r="D100" s="368"/>
      <c r="E100" s="368"/>
      <c r="F100" s="369">
        <f>F94+F97</f>
        <v>0</v>
      </c>
      <c r="G100" s="368"/>
      <c r="H100" s="368"/>
      <c r="I100" s="368"/>
      <c r="J100" s="368"/>
      <c r="K100" s="368">
        <f t="shared" si="65"/>
        <v>0</v>
      </c>
      <c r="L100" s="368"/>
      <c r="M100" s="368">
        <f t="shared" si="66"/>
        <v>0</v>
      </c>
      <c r="N100" s="368"/>
      <c r="O100" s="368">
        <f t="shared" si="67"/>
        <v>0</v>
      </c>
      <c r="P100" s="368"/>
      <c r="Q100" s="368">
        <f t="shared" si="68"/>
        <v>0</v>
      </c>
      <c r="R100" s="368"/>
      <c r="S100" s="368">
        <f t="shared" si="69"/>
        <v>0</v>
      </c>
      <c r="T100" s="368"/>
      <c r="U100" s="368">
        <f t="shared" si="70"/>
        <v>0</v>
      </c>
      <c r="V100" s="368"/>
      <c r="W100" s="368">
        <f t="shared" si="62"/>
        <v>0</v>
      </c>
      <c r="X100" s="368">
        <f t="shared" si="62"/>
        <v>0</v>
      </c>
      <c r="Y100" s="368">
        <f t="shared" si="62"/>
        <v>0</v>
      </c>
      <c r="Z100" s="368"/>
      <c r="AA100" s="368">
        <f t="shared" si="63"/>
        <v>0</v>
      </c>
      <c r="AB100" s="368">
        <f t="shared" si="63"/>
        <v>0</v>
      </c>
      <c r="AC100" s="368">
        <f t="shared" si="63"/>
        <v>0</v>
      </c>
      <c r="AD100" s="368" t="str">
        <f t="shared" si="51"/>
        <v/>
      </c>
      <c r="AE100" s="368"/>
      <c r="AF100" s="368"/>
      <c r="AG100" s="368"/>
      <c r="AH100" s="368"/>
      <c r="AI100" s="368">
        <f t="shared" si="64"/>
        <v>0</v>
      </c>
      <c r="AJ100" s="368">
        <f t="shared" si="64"/>
        <v>0</v>
      </c>
      <c r="AK100" s="372">
        <f t="shared" si="64"/>
        <v>0</v>
      </c>
      <c r="AL100" s="353"/>
      <c r="AN100" s="353"/>
      <c r="AO100" s="353"/>
      <c r="AP100" s="353"/>
      <c r="AQ100" s="353"/>
      <c r="AR100" s="353"/>
      <c r="AS100" s="353"/>
      <c r="AT100" s="353"/>
    </row>
    <row r="101" spans="1:48" s="364" customFormat="1" x14ac:dyDescent="0.25">
      <c r="A101" s="353"/>
      <c r="B101" s="365"/>
      <c r="C101" s="374" t="s">
        <v>584</v>
      </c>
      <c r="D101" s="385"/>
      <c r="E101" s="376"/>
      <c r="F101" s="405">
        <v>2428.5452855975504</v>
      </c>
      <c r="G101" s="378"/>
      <c r="H101" s="378"/>
      <c r="I101" s="378"/>
      <c r="J101" s="379"/>
      <c r="K101" s="379">
        <f>IFERROR($F$101*K92/$F$92,0)</f>
        <v>1555.874378121671</v>
      </c>
      <c r="L101" s="379"/>
      <c r="M101" s="379">
        <f>IFERROR($F$101*M92/$F$92,0)</f>
        <v>410.36999523940688</v>
      </c>
      <c r="N101" s="379"/>
      <c r="O101" s="379">
        <f>IFERROR($F$101*O92/$F$92,0)</f>
        <v>0</v>
      </c>
      <c r="P101" s="379"/>
      <c r="Q101" s="379">
        <f>IFERROR($F$101*Q92/$F$92,0)</f>
        <v>71.775531471071915</v>
      </c>
      <c r="R101" s="379"/>
      <c r="S101" s="379">
        <f>IFERROR($F$101*S92/$F$92,0)</f>
        <v>276.34118753670128</v>
      </c>
      <c r="T101" s="379"/>
      <c r="U101" s="379">
        <f>IFERROR($F$101*U92/$F$92,0)</f>
        <v>114.18419322869909</v>
      </c>
      <c r="V101" s="379"/>
      <c r="W101" s="379">
        <f t="shared" ref="W101:Y101" si="71">IFERROR($F$101*W92/$F$92,0)</f>
        <v>225.09028259306621</v>
      </c>
      <c r="X101" s="379">
        <f t="shared" si="71"/>
        <v>51.250904943635021</v>
      </c>
      <c r="Y101" s="379">
        <f t="shared" si="71"/>
        <v>0</v>
      </c>
      <c r="Z101" s="379"/>
      <c r="AA101" s="379">
        <f t="shared" ref="AA101:AC101" si="72">IFERROR($F$101*AA92/$F$92,0)</f>
        <v>114.18419322869909</v>
      </c>
      <c r="AB101" s="379">
        <f t="shared" si="72"/>
        <v>0</v>
      </c>
      <c r="AC101" s="379">
        <f t="shared" si="72"/>
        <v>0</v>
      </c>
      <c r="AD101" s="379" t="str">
        <f t="shared" si="51"/>
        <v/>
      </c>
      <c r="AE101" s="379"/>
      <c r="AF101" s="379"/>
      <c r="AG101" s="379"/>
      <c r="AH101" s="379"/>
      <c r="AI101" s="379">
        <f t="shared" ref="AI101:AK101" si="73">IFERROR($F$101*AI92/$F$92,0)</f>
        <v>1948.9805025467413</v>
      </c>
      <c r="AJ101" s="379">
        <f t="shared" si="73"/>
        <v>479.56478305080992</v>
      </c>
      <c r="AK101" s="380">
        <f t="shared" si="73"/>
        <v>0</v>
      </c>
      <c r="AL101" s="353"/>
      <c r="AN101" s="353"/>
      <c r="AO101" s="353"/>
      <c r="AP101" s="353"/>
      <c r="AQ101" s="353"/>
      <c r="AR101" s="353"/>
      <c r="AS101" s="353"/>
      <c r="AT101" s="353"/>
      <c r="AU101" s="353"/>
      <c r="AV101" s="353"/>
    </row>
    <row r="102" spans="1:48" s="353" customFormat="1" ht="15.75" thickBot="1" x14ac:dyDescent="0.3">
      <c r="B102" s="365"/>
      <c r="C102" s="386" t="s">
        <v>585</v>
      </c>
      <c r="D102" s="387"/>
      <c r="E102" s="387"/>
      <c r="F102" s="387">
        <v>0</v>
      </c>
      <c r="G102" s="387"/>
      <c r="H102" s="387"/>
      <c r="I102" s="387"/>
      <c r="J102" s="387"/>
      <c r="K102" s="388">
        <f>IFERROR($F$102*K92/$F$92,0)</f>
        <v>0</v>
      </c>
      <c r="L102" s="387"/>
      <c r="M102" s="388">
        <f>IFERROR($F$102*M92/$F$92,0)</f>
        <v>0</v>
      </c>
      <c r="N102" s="388"/>
      <c r="O102" s="388">
        <f>IFERROR($F$102*O92/$F$92,0)</f>
        <v>0</v>
      </c>
      <c r="P102" s="388"/>
      <c r="Q102" s="388">
        <f>IFERROR($F$102*Q92/$F$92,0)</f>
        <v>0</v>
      </c>
      <c r="R102" s="387"/>
      <c r="S102" s="388">
        <f>IFERROR($F$102*S92/$F$92,0)</f>
        <v>0</v>
      </c>
      <c r="T102" s="388"/>
      <c r="U102" s="388">
        <f>IFERROR($F$102*U92/$F$92,0)</f>
        <v>0</v>
      </c>
      <c r="V102" s="388"/>
      <c r="W102" s="388">
        <f t="shared" ref="W102:Y102" si="74">IFERROR($F$102*W92/$F$92,0)</f>
        <v>0</v>
      </c>
      <c r="X102" s="388">
        <f t="shared" si="74"/>
        <v>0</v>
      </c>
      <c r="Y102" s="388">
        <f t="shared" si="74"/>
        <v>0</v>
      </c>
      <c r="Z102" s="388"/>
      <c r="AA102" s="388">
        <f t="shared" ref="AA102:AC102" si="75">IFERROR($F$102*AA92/$F$92,0)</f>
        <v>0</v>
      </c>
      <c r="AB102" s="388">
        <f t="shared" si="75"/>
        <v>0</v>
      </c>
      <c r="AC102" s="388">
        <f t="shared" si="75"/>
        <v>0</v>
      </c>
      <c r="AD102" s="388" t="str">
        <f t="shared" si="51"/>
        <v/>
      </c>
      <c r="AE102" s="388"/>
      <c r="AF102" s="388"/>
      <c r="AG102" s="388"/>
      <c r="AH102" s="388"/>
      <c r="AI102" s="388">
        <f t="shared" ref="AI102:AK102" si="76">IFERROR($F$102*AI92/$F$92,0)</f>
        <v>0</v>
      </c>
      <c r="AJ102" s="388">
        <f t="shared" si="76"/>
        <v>0</v>
      </c>
      <c r="AK102" s="389">
        <f t="shared" si="76"/>
        <v>0</v>
      </c>
    </row>
    <row r="103" spans="1:48" x14ac:dyDescent="0.25">
      <c r="A103" s="390"/>
      <c r="B103" s="391"/>
      <c r="C103" s="392" t="s">
        <v>586</v>
      </c>
      <c r="D103" s="393">
        <v>0.2</v>
      </c>
      <c r="E103" s="394"/>
      <c r="F103" s="395">
        <f>F98*D103</f>
        <v>102730.80745000001</v>
      </c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</row>
    <row r="104" spans="1:48" ht="15.75" thickBot="1" x14ac:dyDescent="0.3">
      <c r="A104" s="390"/>
      <c r="C104" s="396" t="s">
        <v>587</v>
      </c>
      <c r="D104" s="397"/>
      <c r="E104" s="398"/>
      <c r="F104" s="399">
        <f>SUM(F98,F103)</f>
        <v>616384.84470000002</v>
      </c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</row>
    <row r="105" spans="1:48" x14ac:dyDescent="0.25"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</row>
    <row r="106" spans="1:48" x14ac:dyDescent="0.25"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</row>
    <row r="107" spans="1:48" x14ac:dyDescent="0.25">
      <c r="F107" s="353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</row>
    <row r="108" spans="1:48" x14ac:dyDescent="0.25">
      <c r="J108" s="353"/>
      <c r="K108" s="428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</row>
    <row r="109" spans="1:48" x14ac:dyDescent="0.25"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</row>
    <row r="110" spans="1:48" x14ac:dyDescent="0.25"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</row>
    <row r="111" spans="1:48" x14ac:dyDescent="0.25"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</row>
    <row r="134" spans="10:10" x14ac:dyDescent="0.25">
      <c r="J134" s="400"/>
    </row>
  </sheetData>
  <mergeCells count="7">
    <mergeCell ref="AN4:AV4"/>
    <mergeCell ref="C4:H4"/>
    <mergeCell ref="J4:S4"/>
    <mergeCell ref="W4:Y4"/>
    <mergeCell ref="AA4:AC4"/>
    <mergeCell ref="AE4:AG4"/>
    <mergeCell ref="AI4:AK4"/>
  </mergeCells>
  <conditionalFormatting sqref="D6">
    <cfRule type="expression" dxfId="57" priority="40">
      <formula>$BH6&lt;&gt;""</formula>
    </cfRule>
    <cfRule type="expression" dxfId="56" priority="39">
      <formula>AND($BH6&lt;&gt;"",$BQ6="")</formula>
    </cfRule>
  </conditionalFormatting>
  <conditionalFormatting sqref="Z6 AD6 AH6">
    <cfRule type="expression" dxfId="55" priority="46">
      <formula>$BH6&lt;&gt;""</formula>
    </cfRule>
    <cfRule type="expression" dxfId="54" priority="45">
      <formula>AND($BH6&lt;&gt;"",$BQ6="")</formula>
    </cfRule>
  </conditionalFormatting>
  <conditionalFormatting sqref="AN7:AN13">
    <cfRule type="expression" dxfId="53" priority="3">
      <formula>AND($BH7&lt;&gt;"",$BQ7="")</formula>
    </cfRule>
    <cfRule type="expression" dxfId="52" priority="4">
      <formula>$BH7&lt;&gt;""</formula>
    </cfRule>
  </conditionalFormatting>
  <conditionalFormatting sqref="AN14:AN16">
    <cfRule type="expression" dxfId="51" priority="8">
      <formula>$BH15&lt;&gt;""</formula>
    </cfRule>
    <cfRule type="expression" dxfId="50" priority="7">
      <formula>AND($BH15&lt;&gt;"",$BQ15="")</formula>
    </cfRule>
  </conditionalFormatting>
  <conditionalFormatting sqref="AN17">
    <cfRule type="expression" dxfId="49" priority="5">
      <formula>AND($BH19&lt;&gt;"",$BQ19="")</formula>
    </cfRule>
    <cfRule type="expression" dxfId="48" priority="6">
      <formula>$BH19&lt;&gt;""</formula>
    </cfRule>
  </conditionalFormatting>
  <conditionalFormatting sqref="AN18:AN19">
    <cfRule type="expression" dxfId="47" priority="9">
      <formula>AND(#REF!&lt;&gt;"",#REF!="")</formula>
    </cfRule>
    <cfRule type="expression" dxfId="46" priority="10">
      <formula>#REF!&lt;&gt;""</formula>
    </cfRule>
  </conditionalFormatting>
  <conditionalFormatting sqref="AN20 AS83:AT83">
    <cfRule type="expression" dxfId="45" priority="25">
      <formula>AND($BH22&lt;&gt;"",$BQ22="")</formula>
    </cfRule>
    <cfRule type="expression" dxfId="44" priority="26">
      <formula>$BH22&lt;&gt;""</formula>
    </cfRule>
  </conditionalFormatting>
  <conditionalFormatting sqref="AN21">
    <cfRule type="expression" dxfId="43" priority="2">
      <formula>$BH42&lt;&gt;""</formula>
    </cfRule>
    <cfRule type="expression" dxfId="42" priority="1">
      <formula>AND($BH42&lt;&gt;"",$BQ42="")</formula>
    </cfRule>
  </conditionalFormatting>
  <conditionalFormatting sqref="AN30:AT38">
    <cfRule type="expression" dxfId="41" priority="34">
      <formula>$BI33&lt;&gt;""</formula>
    </cfRule>
    <cfRule type="expression" dxfId="40" priority="33">
      <formula>AND($BI33&lt;&gt;"",$BR33="")</formula>
    </cfRule>
  </conditionalFormatting>
  <conditionalFormatting sqref="AN39:AT41 AN67:AT69 AN76:AT79">
    <cfRule type="expression" dxfId="39" priority="21">
      <formula>AND($BI44&lt;&gt;"",$BR44="")</formula>
    </cfRule>
    <cfRule type="expression" dxfId="38" priority="22">
      <formula>$BI44&lt;&gt;""</formula>
    </cfRule>
  </conditionalFormatting>
  <conditionalFormatting sqref="AN54:AT61">
    <cfRule type="expression" dxfId="37" priority="19">
      <formula>AND($BI57&lt;&gt;"",$BR57="")</formula>
    </cfRule>
    <cfRule type="expression" dxfId="36" priority="20">
      <formula>$BI57&lt;&gt;""</formula>
    </cfRule>
  </conditionalFormatting>
  <conditionalFormatting sqref="AN70:AT70">
    <cfRule type="expression" dxfId="35" priority="55">
      <formula>AND(#REF!&lt;&gt;"",#REF!="")</formula>
    </cfRule>
    <cfRule type="expression" dxfId="34" priority="56">
      <formula>#REF!&lt;&gt;""</formula>
    </cfRule>
  </conditionalFormatting>
  <conditionalFormatting sqref="AN72:AT72 AN75:AT75 AN81:AT81 AN86:AT86">
    <cfRule type="expression" dxfId="33" priority="53">
      <formula>AND(#REF!&lt;&gt;"",#REF!="")</formula>
    </cfRule>
    <cfRule type="expression" dxfId="32" priority="54">
      <formula>#REF!&lt;&gt;""</formula>
    </cfRule>
  </conditionalFormatting>
  <conditionalFormatting sqref="AN82:AT82">
    <cfRule type="expression" dxfId="31" priority="23">
      <formula>AND($BI84&lt;&gt;"",$BR84="")</formula>
    </cfRule>
    <cfRule type="expression" dxfId="30" priority="24">
      <formula>$BI84&lt;&gt;""</formula>
    </cfRule>
  </conditionalFormatting>
  <conditionalFormatting sqref="AN84:AT85">
    <cfRule type="expression" dxfId="29" priority="27">
      <formula>AND($BI87&lt;&gt;"",$BR87="")</formula>
    </cfRule>
    <cfRule type="expression" dxfId="28" priority="28">
      <formula>$BI87&lt;&gt;""</formula>
    </cfRule>
  </conditionalFormatting>
  <conditionalFormatting sqref="AO7">
    <cfRule type="expression" dxfId="27" priority="17">
      <formula>AND($BM7&lt;&gt;"",$BV7="")</formula>
    </cfRule>
    <cfRule type="expression" dxfId="26" priority="18">
      <formula>$BM7&lt;&gt;""</formula>
    </cfRule>
  </conditionalFormatting>
  <conditionalFormatting sqref="AO8:AT18">
    <cfRule type="expression" dxfId="25" priority="29">
      <formula>AND($BI8&lt;&gt;"",$BR8="")</formula>
    </cfRule>
    <cfRule type="expression" dxfId="24" priority="30">
      <formula>$BI8&lt;&gt;""</formula>
    </cfRule>
  </conditionalFormatting>
  <conditionalFormatting sqref="AO17:AT17">
    <cfRule type="expression" dxfId="23" priority="14">
      <formula>$BI18&lt;&gt;""</formula>
    </cfRule>
    <cfRule type="expression" dxfId="22" priority="13">
      <formula>AND($BI18&lt;&gt;"",$BR18="")</formula>
    </cfRule>
  </conditionalFormatting>
  <conditionalFormatting sqref="AO18:AT18">
    <cfRule type="expression" dxfId="21" priority="12">
      <formula>$BI20&lt;&gt;""</formula>
    </cfRule>
    <cfRule type="expression" dxfId="20" priority="11">
      <formula>AND($BI20&lt;&gt;"",$BR20="")</formula>
    </cfRule>
  </conditionalFormatting>
  <conditionalFormatting sqref="AO19:AT19">
    <cfRule type="expression" dxfId="19" priority="47">
      <formula>AND($BI20&lt;&gt;"",$BR20="")</formula>
    </cfRule>
    <cfRule type="expression" dxfId="18" priority="48">
      <formula>$BI20&lt;&gt;""</formula>
    </cfRule>
  </conditionalFormatting>
  <conditionalFormatting sqref="AO19:AT22 AN23:AT24 AN43:AT44 AN48:AT50 AN71:AT71">
    <cfRule type="expression" dxfId="17" priority="37">
      <formula>AND($BI22&lt;&gt;"",$BR22="")</formula>
    </cfRule>
    <cfRule type="expression" dxfId="16" priority="38">
      <formula>$BI22&lt;&gt;""</formula>
    </cfRule>
  </conditionalFormatting>
  <conditionalFormatting sqref="AO20:AT20 AN73:AT74">
    <cfRule type="expression" dxfId="15" priority="41">
      <formula>AND($BI22&lt;&gt;"",$BR22="")</formula>
    </cfRule>
    <cfRule type="expression" dxfId="14" priority="42">
      <formula>$BI22&lt;&gt;""</formula>
    </cfRule>
  </conditionalFormatting>
  <conditionalFormatting sqref="AO21:AT22 AN42:AT42 AN51:AT53 AN62:AT62 AN80:AT80">
    <cfRule type="expression" dxfId="13" priority="49">
      <formula>AND($BI25&lt;&gt;"",$BR25="")</formula>
    </cfRule>
    <cfRule type="expression" dxfId="12" priority="50">
      <formula>$BI25&lt;&gt;""</formula>
    </cfRule>
  </conditionalFormatting>
  <conditionalFormatting sqref="AP7:AT7 AU7:AV11">
    <cfRule type="expression" dxfId="11" priority="43">
      <formula>AND($BI7&lt;&gt;"",$BR7="")</formula>
    </cfRule>
    <cfRule type="expression" dxfId="10" priority="44">
      <formula>$BI7&lt;&gt;""</formula>
    </cfRule>
  </conditionalFormatting>
  <conditionalFormatting sqref="AS23:AT23">
    <cfRule type="expression" dxfId="9" priority="16">
      <formula>$BH28&lt;&gt;""</formula>
    </cfRule>
    <cfRule type="expression" dxfId="8" priority="15">
      <formula>AND($BH28&lt;&gt;"",$BQ28="")</formula>
    </cfRule>
  </conditionalFormatting>
  <conditionalFormatting sqref="AS25:AT25">
    <cfRule type="expression" dxfId="7" priority="51">
      <formula>AND($BH30&lt;&gt;"",$BQ30="")</formula>
    </cfRule>
    <cfRule type="expression" dxfId="6" priority="52">
      <formula>$BH30&lt;&gt;""</formula>
    </cfRule>
  </conditionalFormatting>
  <conditionalFormatting sqref="AS45:AT45">
    <cfRule type="expression" dxfId="5" priority="35">
      <formula>AND($BH48&lt;&gt;"",$BQ48="")</formula>
    </cfRule>
    <cfRule type="expression" dxfId="4" priority="36">
      <formula>$BH48&lt;&gt;""</formula>
    </cfRule>
  </conditionalFormatting>
  <conditionalFormatting sqref="AS63:AT64">
    <cfRule type="expression" dxfId="3" priority="31">
      <formula>AND($BH67&lt;&gt;"",$BQ67="")</formula>
    </cfRule>
    <cfRule type="expression" dxfId="2" priority="32">
      <formula>$BH67&lt;&gt;""</formula>
    </cfRule>
  </conditionalFormatting>
  <conditionalFormatting sqref="AS87:AT87 AS89:AT89">
    <cfRule type="expression" dxfId="1" priority="57">
      <formula>AND(#REF!&lt;&gt;"",#REF!="")</formula>
    </cfRule>
    <cfRule type="expression" dxfId="0" priority="58">
      <formula>#REF!&lt;&gt;""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5F25KTUSNP4X-205032580-156214</_dlc_DocId>
    <_dlc_DocIdUrl xmlns="d65e48b5-f38d-431e-9b4f-47403bf4583f">
      <Url>https://rkas.sharepoint.com/Kliendisuhted/_layouts/15/DocIdRedir.aspx?ID=5F25KTUSNP4X-205032580-156214</Url>
      <Description>5F25KTUSNP4X-205032580-156214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C93CD3-D754-4F7A-AD0F-7E085E1F6A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9F89A0-14A1-4A06-A1F7-648865BE2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466593-D564-4564-8EFD-403C556AE120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66CB1C20-EFA8-428C-BFC0-4DFC8C3CBB2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6.1. Lisa 1 Parendustööd</vt:lpstr>
      <vt:lpstr>Lisa 6.1. Lisa 2 Sisustus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Anu Irval</cp:lastModifiedBy>
  <dcterms:created xsi:type="dcterms:W3CDTF">2023-10-05T14:37:57Z</dcterms:created>
  <dcterms:modified xsi:type="dcterms:W3CDTF">2024-04-18T09:25:05Z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dec8b4d6-693a-4c1b-9bf9-1514a805c43d</vt:lpwstr>
  </property>
</Properties>
</file>